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mc:AlternateContent xmlns:mc="http://schemas.openxmlformats.org/markup-compatibility/2006">
    <mc:Choice Requires="x15">
      <x15ac:absPath xmlns:x15ac="http://schemas.microsoft.com/office/spreadsheetml/2010/11/ac" url="G:\Projecten\42173 VWS  biosimilars\42173-03\productontwikkeling\Rekenmodellen\"/>
    </mc:Choice>
  </mc:AlternateContent>
  <bookViews>
    <workbookView xWindow="0" yWindow="0" windowWidth="23040" windowHeight="9408" activeTab="1"/>
  </bookViews>
  <sheets>
    <sheet name="Titelblad" sheetId="16" r:id="rId1"/>
    <sheet name="Gebruiksaanwijzing" sheetId="17" r:id="rId2"/>
    <sheet name="Voorblad" sheetId="11" r:id="rId3"/>
    <sheet name="Scenario blanco" sheetId="15" r:id="rId4"/>
    <sheet name="Fictief voorbeeld" sheetId="18" r:id="rId5"/>
  </sheets>
  <definedNames>
    <definedName name="_xlnm.Print_Area" localSheetId="4">'Fictief voorbeeld'!$A$4:$F$30,'Fictief voorbeeld'!$A$34:$I$57</definedName>
    <definedName name="_xlnm.Print_Area" localSheetId="3">'Scenario blanco'!$A$4:$F$30,'Scenario blanco'!$A$34:$I$57</definedName>
    <definedName name="_xlnm.Print_Area" localSheetId="2">Voorblad!$A$5:$F$11,Voorblad!#REF!</definedName>
  </definedNames>
  <calcPr calcId="152511"/>
</workbook>
</file>

<file path=xl/calcChain.xml><?xml version="1.0" encoding="utf-8"?>
<calcChain xmlns="http://schemas.openxmlformats.org/spreadsheetml/2006/main">
  <c r="B24" i="18" l="1"/>
  <c r="B24" i="15"/>
  <c r="B11" i="18" l="1"/>
  <c r="B36" i="18" l="1"/>
  <c r="B45" i="18" s="1"/>
  <c r="B33" i="18"/>
  <c r="B26" i="18"/>
  <c r="B27" i="18"/>
  <c r="B23" i="18"/>
  <c r="B19" i="18"/>
  <c r="B49" i="18"/>
  <c r="D33" i="18"/>
  <c r="E33" i="18" s="1"/>
  <c r="B6" i="15"/>
  <c r="A35" i="18" l="1"/>
  <c r="B25" i="18"/>
  <c r="D37" i="18" s="1"/>
  <c r="D39" i="18"/>
  <c r="D44" i="18"/>
  <c r="C49" i="18"/>
  <c r="D40" i="18"/>
  <c r="D49" i="18"/>
  <c r="E50" i="18" s="1"/>
  <c r="D42" i="18"/>
  <c r="D50" i="18"/>
  <c r="D38" i="18"/>
  <c r="D43" i="18"/>
  <c r="B7" i="11"/>
  <c r="C36" i="18" l="1"/>
  <c r="C45" i="18" s="1"/>
  <c r="E51" i="18"/>
  <c r="D45" i="18"/>
  <c r="B9" i="11"/>
  <c r="D46" i="18" l="1"/>
  <c r="E45" i="18"/>
  <c r="E46" i="18" s="1"/>
  <c r="B27" i="15"/>
  <c r="B26" i="15"/>
  <c r="B23" i="15" l="1"/>
  <c r="B25" i="15" l="1"/>
  <c r="A35" i="15"/>
  <c r="B11" i="15" l="1"/>
  <c r="B8" i="11" l="1"/>
  <c r="B19" i="15"/>
  <c r="B33" i="15" l="1"/>
  <c r="B36" i="15"/>
  <c r="B45" i="15" s="1"/>
  <c r="D33" i="15"/>
  <c r="E33" i="15" s="1"/>
  <c r="B7" i="15"/>
  <c r="B9" i="15" l="1"/>
  <c r="D44" i="15" l="1"/>
  <c r="B8" i="15"/>
  <c r="C36" i="15" s="1"/>
  <c r="D39" i="15" l="1"/>
  <c r="D37" i="15"/>
  <c r="C49" i="15"/>
  <c r="D38" i="15"/>
  <c r="D50" i="15"/>
  <c r="D43" i="15"/>
  <c r="D49" i="15"/>
  <c r="D40" i="15"/>
  <c r="D42" i="15"/>
  <c r="C45" i="15"/>
  <c r="B49" i="15"/>
  <c r="E50" i="15" l="1"/>
  <c r="E51" i="15" s="1"/>
  <c r="D45" i="15"/>
  <c r="E45" i="15" l="1"/>
  <c r="E46" i="15" s="1"/>
  <c r="D46" i="15"/>
</calcChain>
</file>

<file path=xl/sharedStrings.xml><?xml version="1.0" encoding="utf-8"?>
<sst xmlns="http://schemas.openxmlformats.org/spreadsheetml/2006/main" count="160" uniqueCount="90">
  <si>
    <t>AIP</t>
  </si>
  <si>
    <t>Switchkosten</t>
  </si>
  <si>
    <t>Toelichting</t>
  </si>
  <si>
    <t>Overname van voorblad</t>
  </si>
  <si>
    <t xml:space="preserve">Kosten per patient voor infrastructuur voor een geslaagde switch </t>
  </si>
  <si>
    <t>In te vullen per scenario</t>
  </si>
  <si>
    <t>Kosten tot aan switch</t>
  </si>
  <si>
    <t>Kosten voor switchers gedurende switch</t>
  </si>
  <si>
    <t>Kosten voor switchers na switch</t>
  </si>
  <si>
    <t>Totaal</t>
  </si>
  <si>
    <t>Opbrengst switch</t>
  </si>
  <si>
    <t>Disclaimer</t>
  </si>
  <si>
    <t>Wij hebben de grootst mogelijke zorg besteed aan deze uitgave. 
Aan de inhoud hiervan kunnen echter geen rechten worden ontleend. 
Het Instituut voor Verantwoord Medicijngebruik is niet aansprakelijk voor 
directe of indirecte schade die het gevolg is van het gebruik van de 
informatie die door middel van deze uitgave is verkregen. 
Niets uit deze uitgave mag worden gebruikt zonder vooraf verkregen toestemming.</t>
  </si>
  <si>
    <t>Op het voorblad vult u gegevens in over het verbruik van een geneesmiddel in het afgelopen jaar en de huidige korting die u ontvangt.</t>
  </si>
  <si>
    <t xml:space="preserve">U hoeft alleen de oranje vlakken in te vullen, de andere vlakken worden vanzelf berekend. </t>
  </si>
  <si>
    <t>1. Het ziekenhuis blijft bij de oude leverancier van het product</t>
  </si>
  <si>
    <t>2. het ziekenhuis stapt over op een andere leverancier.</t>
  </si>
  <si>
    <t>Vul op dit blad opnieuw de oranje vlakken in. De andere vlakken worden berekend, of overgenomen van het voorblad.</t>
  </si>
  <si>
    <t>Einddatum switchperiode</t>
  </si>
  <si>
    <t>Denk hierbij aan het maken van voorlichtingsmateriaal en extra tijd voor voorlichting in de spreekkamer/apotheek, omgerekend naar kosten per patiënt</t>
  </si>
  <si>
    <t>geen switch</t>
  </si>
  <si>
    <t>wel switch</t>
  </si>
  <si>
    <t>Gebruiksaanwijzing</t>
  </si>
  <si>
    <t>Voorblad</t>
  </si>
  <si>
    <t>Scenario's</t>
  </si>
  <si>
    <t>Aannames</t>
  </si>
  <si>
    <t>Het model gaat uit van een statische patiëntenpopulatie, waarbij in- en uitstroom van gebruikers gelijk zijn.</t>
  </si>
  <si>
    <t>U bepaalt de switchperiode als volgt:</t>
  </si>
  <si>
    <t>Wanneer de switch meer geleidelijk verloopt, bijvoorbeeld per specialisme, geef dan de periode van switchen aan.</t>
  </si>
  <si>
    <t>In het rekenmodel is alleen rekening gehouden met de directe geneesmiddelkosten, en niet met factoren als spillage en handelingskosten.</t>
  </si>
  <si>
    <t>U kunt deze informatie vinden op inkoopfacturen van 2018</t>
  </si>
  <si>
    <t xml:space="preserve">Scenario </t>
  </si>
  <si>
    <t>Startdatum van switch</t>
  </si>
  <si>
    <t>Laatste dag switchjaar+1</t>
  </si>
  <si>
    <t>Eerste dag switchjaar</t>
  </si>
  <si>
    <t>Aantal maanden tot switch</t>
  </si>
  <si>
    <t>Aantal maanden gedurende switch</t>
  </si>
  <si>
    <t>Aantal maanden na switch</t>
  </si>
  <si>
    <t>Kosten voor NIET-switchers gedurende switch</t>
  </si>
  <si>
    <t>Kosten niet-switchers na switch</t>
  </si>
  <si>
    <t>met korting</t>
  </si>
  <si>
    <t>gemiddeld per jaar (over 2 jaar)</t>
  </si>
  <si>
    <t>per jaar</t>
  </si>
  <si>
    <t>besparing t.o.v. uitgangssituatie</t>
  </si>
  <si>
    <t>Kosten na switchjaren (per jaar)</t>
  </si>
  <si>
    <t>Let op: dit is een fictief voorbeeld!</t>
  </si>
  <si>
    <t>Het model gaat uit van een omzetting in de vorm van een campagne. Tijdens deze campagne starten alle patiënten die instemmen met switchen met een biosimilar.</t>
  </si>
  <si>
    <t xml:space="preserve">Na de switchperiode is er geen actieve switch meer. De daling van het aantal gebruikers van originator door natuurlijk verloop wordt niet meegerekend. </t>
  </si>
  <si>
    <t xml:space="preserve">Ter verduidelijking is een fictief voorbeeld toegevoegd. Alle getallen op dit blad zijn fictief. </t>
  </si>
  <si>
    <t xml:space="preserve">Dit rekenmodel is ontwikkeld als onderdeel van het programma " Implementatie Biosimilars op Maat in ziekenhuizen" (BOM), uitgevoerd door het Instituut Verantwoord Medicijngebruik en Initiatiefgroep Biosimilars Nederland en gefinancierd door het Ministerie van VWS. </t>
  </si>
  <si>
    <t>Dit rekenmodel is gebaseerd op het model van en doorontwikkeld met medewerking van Gelre Ziekenhuizen.</t>
  </si>
  <si>
    <t xml:space="preserve">Vervolgens gebruikt u het blad 'scenario blanco'. Een scenario vergelijkt steeds de geneesmiddelkosten in twee situaties: </t>
  </si>
  <si>
    <t>Dit model is alleen geschikt voor situaties waarin er geen verschil is in toedienvorm of frequentie tussen biosimilar en originator of tussen de biosimilars onderling.</t>
  </si>
  <si>
    <t>Ontvangen korting huidig voorkeursmiddel tot aan eventuele overstap (%)</t>
  </si>
  <si>
    <t>Geboden korting wanneer huidig voorkeursmiddel preferent is (%)</t>
  </si>
  <si>
    <t>Geboden korting wanneer huidig voorkeursmiddel niet preferent is (%)</t>
  </si>
  <si>
    <t>Korting nieuw voorkeursmiddel (%)</t>
  </si>
  <si>
    <t>In dit rekenmodel kunt u verschillende scenario's doorrekenen, om u te helpen bij de keuze tussen het huidige voorkeursmiddel en een eventueel nieuw voorkeursmiddel.</t>
  </si>
  <si>
    <t>Wanneer alle patiënten in een korte periode switchen naar een ander voorkeursmiddel, vul dan de maand van de switchcampagne in bij startmaand en eindmaand van switch.</t>
  </si>
  <si>
    <t>Vul op dit blad opnieuw de oranje vlakken in. De andere vlakken worden berekend, of overgenomen van het 'voorblad'.</t>
  </si>
  <si>
    <t>Rekenmodel etanercept</t>
  </si>
  <si>
    <t>Het model is ontwikkeld voor het product etanercept. U kunt het model ook gebruiken voor andere omzettingen. Controleer dan wel goed alle aannames.</t>
  </si>
  <si>
    <t xml:space="preserve">Het model werkt met het aantal gebruikte mg etanercept. Hierbij is uitgegaan dat een patient een maal in de week 50 mg etanercept krijgt. Dit is de normale dosering voor  </t>
  </si>
  <si>
    <t>Controleert u ook de vooringevulde, blauwe vlakken of deze nog actueel zijn. Deze vlakken zijn ingevuld met de prijzen van 26 maart 2019.</t>
  </si>
  <si>
    <t>Uitgaande van een dosering van 50 mg per week.</t>
  </si>
  <si>
    <t>Aantal mg etanercept oplossing voor injectie op jaarbasis</t>
  </si>
  <si>
    <t>Gemiddeld gebruik etanercept oplossing voor injectie per patient/jaar (mg)</t>
  </si>
  <si>
    <t>Gemiddeld gebruik etanercept oplossing voor injectie per patient/maand (mg)</t>
  </si>
  <si>
    <t>Aantal patienten dat behandeld wordt met etanercept oplossing voor injectie op 1-1-2019</t>
  </si>
  <si>
    <t>Etanercept oplossing voor injectie: prijs/mg</t>
  </si>
  <si>
    <t xml:space="preserve">Op basis van de AIP van etanercept oplossing voor injectie van 26 maart 2019, exclusief BTW. </t>
  </si>
  <si>
    <t>Aantal milligram etanercept voor 2020</t>
  </si>
  <si>
    <t>Etanercept oplossing voor injectie in wegwerpspuit, voorgevulde pen, sensorready pen, pen</t>
  </si>
  <si>
    <t>Etanercept oplossing voor injectie</t>
  </si>
  <si>
    <t>Gemiddeld gebruik etanercept per patient/jaar (mg)</t>
  </si>
  <si>
    <t>Gemiddeld gebruik etanercept per patient/maand (mg)</t>
  </si>
  <si>
    <t>Aantal patienten dat behandeld wordt met etanercept op 1-1-2020</t>
  </si>
  <si>
    <t>Etanercept: prijs/mg</t>
  </si>
  <si>
    <t>Vul op dit blad de oranje vlakken in. De andere vlakken worden berekend, of overgenomen van het 'voorblad'.</t>
  </si>
  <si>
    <t>Percentage van de bestaande etanerceptpatienten die oplossing voor injectie gebruikt dat switcht</t>
  </si>
  <si>
    <t>Kosten vóór switch etanercept oplossing voor injectie (per jaar)</t>
  </si>
  <si>
    <t>Huidig voorkeursmiddel oplossing voor injectie</t>
  </si>
  <si>
    <t>Nieuw voorkeursmiddel oplossing voor injectie</t>
  </si>
  <si>
    <t xml:space="preserve">Dit model is gebaseerd op de etanerceptinjecties die als oplossing voor injectie in de vorm van een wegwerpspuit, pen en dergelijke in de handel zijn. Van deze oplossingen voor </t>
  </si>
  <si>
    <t xml:space="preserve">injecties zijn diverse biosimilars in de handel. Ze worden met name voor volwassenen gebruikt. De poeder voor oplossing voor injectie, die voor kinderen wordt gebruikt, </t>
  </si>
  <si>
    <t xml:space="preserve">volwassenen. </t>
  </si>
  <si>
    <t>wordt in het model niet meegenomen. Het wordt nauwelijks gebruikt. In 2017 was minder dan 3% van het aantal stuks etanerceptinjecties een poeder voor injectie (Bron: .</t>
  </si>
  <si>
    <t>GIPdatabank). Ook zijn er geen biosimilars van in de handel.</t>
  </si>
  <si>
    <t>Percentage patienten dat behandeld blijft met huidig voorkeursmiddel</t>
  </si>
  <si>
    <t xml:space="preserve">Het is in dit model niet mogelijk te rekenen met een switchperiode van langer dan 1 jaar.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</si>
</sst>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 #,##0;&quot;€&quot;\ \-#,##0"/>
    <numFmt numFmtId="44" formatCode="_ &quot;€&quot;\ * #,##0.00_ ;_ &quot;€&quot;\ * \-#,##0.00_ ;_ &quot;€&quot;\ * &quot;-&quot;??_ ;_ @_ "/>
    <numFmt numFmtId="164" formatCode="&quot;€&quot;\ #,##0"/>
    <numFmt numFmtId="165" formatCode="_ &quot;€&quot;\ * #,##0_ ;_ &quot;€&quot;\ * \-#,##0_ ;_ &quot;€&quot;\ * &quot;-&quot;??_ ;_ @_ "/>
  </numFmts>
  <fonts count="19" x14ac:knownFonts="1">
    <font>
      <sz val="10"/>
      <color theme="1"/>
      <name val="Arial"/>
      <family val="2"/>
    </font>
    <font>
      <sz val="10"/>
      <color theme="1"/>
      <name val="Arial"/>
      <family val="2"/>
    </font>
    <font>
      <sz val="11"/>
      <color theme="1"/>
      <name val="Calibri"/>
      <family val="2"/>
      <scheme val="minor"/>
    </font>
    <font>
      <sz val="10"/>
      <color rgb="FFFF0000"/>
      <name val="Arial"/>
      <family val="2"/>
    </font>
    <font>
      <sz val="10"/>
      <name val="Arial"/>
      <family val="2"/>
    </font>
    <font>
      <b/>
      <sz val="10"/>
      <color theme="1"/>
      <name val="Arial"/>
      <family val="2"/>
    </font>
    <font>
      <b/>
      <sz val="10"/>
      <name val="Arial"/>
      <family val="2"/>
    </font>
    <font>
      <b/>
      <sz val="14"/>
      <color theme="1"/>
      <name val="Arial"/>
      <family val="2"/>
    </font>
    <font>
      <b/>
      <sz val="10"/>
      <color rgb="FFFF0000"/>
      <name val="Arial"/>
      <family val="2"/>
    </font>
    <font>
      <sz val="10"/>
      <color theme="1"/>
      <name val="Arial Unicode MS"/>
      <family val="2"/>
    </font>
    <font>
      <b/>
      <sz val="10"/>
      <color theme="0"/>
      <name val="Arial"/>
      <family val="2"/>
    </font>
    <font>
      <b/>
      <sz val="14"/>
      <color theme="0"/>
      <name val="Arial"/>
      <family val="2"/>
    </font>
    <font>
      <sz val="8"/>
      <color rgb="FF006600"/>
      <name val="Arial"/>
      <family val="2"/>
    </font>
    <font>
      <sz val="8"/>
      <color rgb="FFFF0000"/>
      <name val="Arial"/>
      <family val="2"/>
    </font>
    <font>
      <b/>
      <sz val="10"/>
      <color rgb="FF006600"/>
      <name val="Arial"/>
      <family val="2"/>
    </font>
    <font>
      <sz val="10"/>
      <color rgb="FF006600"/>
      <name val="Arial"/>
      <family val="2"/>
    </font>
    <font>
      <b/>
      <i/>
      <sz val="10"/>
      <color theme="1"/>
      <name val="Arial"/>
      <family val="2"/>
    </font>
    <font>
      <b/>
      <i/>
      <sz val="10"/>
      <name val="Arial"/>
      <family val="2"/>
    </font>
    <font>
      <i/>
      <sz val="10"/>
      <color theme="1"/>
      <name val="Arial"/>
      <family val="2"/>
    </font>
  </fonts>
  <fills count="16">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79998168889431442"/>
        <bgColor indexed="64"/>
      </patternFill>
    </fill>
    <fill>
      <patternFill patternType="solid">
        <fgColor rgb="FFFF9933"/>
        <bgColor indexed="64"/>
      </patternFill>
    </fill>
    <fill>
      <patternFill patternType="solid">
        <fgColor rgb="FF9900CC"/>
        <bgColor indexed="64"/>
      </patternFill>
    </fill>
    <fill>
      <patternFill patternType="solid">
        <fgColor rgb="FFFFC775"/>
        <bgColor indexed="64"/>
      </patternFill>
    </fill>
    <fill>
      <patternFill patternType="solid">
        <fgColor rgb="FFE69FFF"/>
        <bgColor indexed="64"/>
      </patternFill>
    </fill>
    <fill>
      <patternFill patternType="solid">
        <fgColor rgb="FFFF9393"/>
        <bgColor indexed="64"/>
      </patternFill>
    </fill>
    <fill>
      <patternFill patternType="solid">
        <fgColor rgb="FFFFE4BD"/>
        <bgColor indexed="64"/>
      </patternFill>
    </fill>
    <fill>
      <patternFill patternType="solid">
        <fgColor rgb="FFF8E5FF"/>
        <bgColor indexed="64"/>
      </patternFill>
    </fill>
    <fill>
      <patternFill patternType="solid">
        <fgColor rgb="FFFFD5D5"/>
        <bgColor indexed="64"/>
      </patternFill>
    </fill>
  </fills>
  <borders count="29">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ck">
        <color indexed="64"/>
      </left>
      <right style="hair">
        <color indexed="64"/>
      </right>
      <top style="hair">
        <color indexed="64"/>
      </top>
      <bottom/>
      <diagonal/>
    </border>
    <border>
      <left style="hair">
        <color indexed="64"/>
      </left>
      <right/>
      <top style="hair">
        <color indexed="64"/>
      </top>
      <bottom/>
      <diagonal/>
    </border>
    <border>
      <left style="hair">
        <color auto="1"/>
      </left>
      <right style="hair">
        <color auto="1"/>
      </right>
      <top style="hair">
        <color auto="1"/>
      </top>
      <bottom style="hair">
        <color auto="1"/>
      </bottom>
      <diagonal/>
    </border>
  </borders>
  <cellStyleXfs count="5">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44" fontId="1" fillId="0" borderId="0" applyFont="0" applyFill="0" applyBorder="0" applyAlignment="0" applyProtection="0"/>
  </cellStyleXfs>
  <cellXfs count="148">
    <xf numFmtId="0" fontId="0" fillId="0" borderId="0" xfId="0"/>
    <xf numFmtId="0" fontId="0" fillId="0" borderId="0" xfId="0" applyBorder="1"/>
    <xf numFmtId="0" fontId="3" fillId="0" borderId="0" xfId="0" applyFont="1"/>
    <xf numFmtId="0" fontId="0" fillId="0" borderId="9" xfId="0" applyBorder="1"/>
    <xf numFmtId="0" fontId="0" fillId="0" borderId="0" xfId="0"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xf numFmtId="0" fontId="0" fillId="0" borderId="0" xfId="0" applyAlignment="1">
      <alignment wrapText="1"/>
    </xf>
    <xf numFmtId="0" fontId="0" fillId="4" borderId="11" xfId="0" applyFill="1" applyBorder="1" applyAlignment="1" applyProtection="1">
      <alignment horizontal="center" vertical="center"/>
    </xf>
    <xf numFmtId="3" fontId="0" fillId="5" borderId="11" xfId="0" applyNumberFormat="1" applyFill="1" applyBorder="1" applyAlignment="1" applyProtection="1">
      <alignment horizontal="center" vertical="center"/>
    </xf>
    <xf numFmtId="0" fontId="7" fillId="0" borderId="0" xfId="0" applyFont="1"/>
    <xf numFmtId="0" fontId="5" fillId="0" borderId="0" xfId="0" applyFont="1" applyBorder="1"/>
    <xf numFmtId="0" fontId="8" fillId="0" borderId="0" xfId="0" applyFont="1"/>
    <xf numFmtId="0" fontId="5" fillId="0" borderId="0" xfId="0" applyFont="1" applyAlignment="1">
      <alignment wrapText="1"/>
    </xf>
    <xf numFmtId="0" fontId="0" fillId="0" borderId="0" xfId="0" applyAlignment="1">
      <alignment vertical="center" wrapText="1"/>
    </xf>
    <xf numFmtId="0" fontId="5" fillId="0" borderId="0" xfId="0" applyFont="1" applyProtection="1"/>
    <xf numFmtId="0" fontId="0" fillId="0" borderId="0" xfId="0" applyBorder="1" applyProtection="1"/>
    <xf numFmtId="0" fontId="0" fillId="0" borderId="0" xfId="0" applyAlignment="1" applyProtection="1"/>
    <xf numFmtId="0" fontId="0" fillId="0" borderId="0" xfId="0" applyProtection="1"/>
    <xf numFmtId="0" fontId="3" fillId="0" borderId="0" xfId="0" applyFont="1" applyProtection="1"/>
    <xf numFmtId="14" fontId="0" fillId="0" borderId="0" xfId="0" applyNumberFormat="1" applyProtection="1"/>
    <xf numFmtId="44" fontId="0" fillId="0" borderId="0" xfId="0" applyNumberFormat="1" applyProtection="1"/>
    <xf numFmtId="0" fontId="9" fillId="0" borderId="0" xfId="0" applyFont="1" applyProtection="1"/>
    <xf numFmtId="0" fontId="0" fillId="0" borderId="0" xfId="0" applyBorder="1" applyAlignment="1" applyProtection="1">
      <alignment wrapText="1"/>
    </xf>
    <xf numFmtId="0" fontId="11" fillId="0" borderId="0" xfId="0" applyFont="1" applyFill="1" applyAlignment="1" applyProtection="1">
      <alignment horizontal="center" vertical="center"/>
    </xf>
    <xf numFmtId="0" fontId="0" fillId="0" borderId="0" xfId="0" applyFill="1" applyProtection="1"/>
    <xf numFmtId="0" fontId="10" fillId="6" borderId="0" xfId="0" applyFont="1" applyFill="1" applyAlignment="1" applyProtection="1">
      <alignment horizontal="left" vertical="top"/>
    </xf>
    <xf numFmtId="0" fontId="8" fillId="0" borderId="6" xfId="0" applyFont="1" applyFill="1" applyBorder="1" applyProtection="1"/>
    <xf numFmtId="164" fontId="0" fillId="0" borderId="0" xfId="0" applyNumberFormat="1" applyProtection="1"/>
    <xf numFmtId="0" fontId="4" fillId="0" borderId="0" xfId="0" applyFont="1" applyProtection="1"/>
    <xf numFmtId="0" fontId="6" fillId="8" borderId="9" xfId="0" applyFont="1" applyFill="1" applyBorder="1" applyAlignment="1" applyProtection="1">
      <alignment horizontal="left" vertical="top"/>
    </xf>
    <xf numFmtId="0" fontId="13" fillId="0" borderId="3" xfId="0" applyFont="1" applyFill="1" applyBorder="1" applyAlignment="1" applyProtection="1">
      <alignment horizontal="right"/>
    </xf>
    <xf numFmtId="0" fontId="13" fillId="0" borderId="4" xfId="0" applyFont="1" applyFill="1" applyBorder="1" applyAlignment="1" applyProtection="1">
      <alignment horizontal="right"/>
    </xf>
    <xf numFmtId="0" fontId="14" fillId="0" borderId="6" xfId="0" applyFont="1" applyFill="1" applyBorder="1" applyProtection="1"/>
    <xf numFmtId="0" fontId="12" fillId="0" borderId="3" xfId="0" applyFont="1" applyFill="1" applyBorder="1" applyAlignment="1" applyProtection="1">
      <alignment horizontal="right"/>
    </xf>
    <xf numFmtId="0" fontId="12" fillId="0" borderId="4" xfId="0" applyFont="1" applyFill="1" applyBorder="1" applyAlignment="1" applyProtection="1">
      <alignment horizontal="right"/>
    </xf>
    <xf numFmtId="0" fontId="0" fillId="0" borderId="9" xfId="0" applyFill="1" applyBorder="1" applyProtection="1"/>
    <xf numFmtId="0" fontId="0" fillId="0" borderId="6" xfId="0" applyFill="1" applyBorder="1" applyProtection="1"/>
    <xf numFmtId="0" fontId="0" fillId="0" borderId="4" xfId="0" applyFill="1" applyBorder="1" applyProtection="1"/>
    <xf numFmtId="5" fontId="4" fillId="13" borderId="5" xfId="0" applyNumberFormat="1" applyFont="1" applyFill="1" applyBorder="1" applyAlignment="1" applyProtection="1">
      <alignment horizontal="right" indent="1"/>
    </xf>
    <xf numFmtId="0" fontId="0" fillId="0" borderId="0" xfId="0" applyFill="1" applyBorder="1" applyProtection="1"/>
    <xf numFmtId="0" fontId="0" fillId="0" borderId="0" xfId="0" applyFill="1" applyBorder="1" applyAlignment="1" applyProtection="1"/>
    <xf numFmtId="0" fontId="10" fillId="9" borderId="9" xfId="0" applyFont="1" applyFill="1" applyBorder="1" applyAlignment="1" applyProtection="1">
      <alignment horizontal="left" vertical="top"/>
    </xf>
    <xf numFmtId="0" fontId="14" fillId="0" borderId="9" xfId="0" applyFont="1" applyFill="1" applyBorder="1" applyProtection="1"/>
    <xf numFmtId="3" fontId="4" fillId="3" borderId="11" xfId="0" applyNumberFormat="1" applyFont="1" applyFill="1" applyBorder="1" applyAlignment="1" applyProtection="1">
      <alignment horizontal="center" vertical="center"/>
      <protection locked="0"/>
    </xf>
    <xf numFmtId="44" fontId="0" fillId="4" borderId="11" xfId="0" applyNumberFormat="1" applyFill="1" applyBorder="1" applyAlignment="1" applyProtection="1">
      <alignment horizontal="center" vertical="center"/>
    </xf>
    <xf numFmtId="2" fontId="1" fillId="4" borderId="11" xfId="2" applyNumberFormat="1" applyFont="1" applyFill="1" applyBorder="1" applyAlignment="1" applyProtection="1">
      <alignment horizontal="center" vertical="center"/>
    </xf>
    <xf numFmtId="164" fontId="3" fillId="13" borderId="2" xfId="2" applyNumberFormat="1" applyFont="1" applyFill="1" applyBorder="1" applyAlignment="1" applyProtection="1">
      <alignment horizontal="right" indent="1"/>
    </xf>
    <xf numFmtId="164" fontId="3" fillId="13" borderId="5" xfId="2" applyNumberFormat="1" applyFont="1" applyFill="1" applyBorder="1" applyAlignment="1" applyProtection="1">
      <alignment horizontal="right" indent="1"/>
    </xf>
    <xf numFmtId="164" fontId="15" fillId="13" borderId="2" xfId="2" applyNumberFormat="1" applyFont="1" applyFill="1" applyBorder="1" applyAlignment="1" applyProtection="1">
      <alignment horizontal="right" indent="1"/>
    </xf>
    <xf numFmtId="164" fontId="15" fillId="13" borderId="5" xfId="2" applyNumberFormat="1" applyFont="1" applyFill="1" applyBorder="1" applyAlignment="1" applyProtection="1">
      <alignment horizontal="right" indent="1"/>
    </xf>
    <xf numFmtId="0" fontId="0" fillId="0" borderId="0" xfId="0" applyFont="1" applyBorder="1" applyProtection="1"/>
    <xf numFmtId="0" fontId="0" fillId="0" borderId="0" xfId="0" applyFont="1" applyAlignment="1" applyProtection="1"/>
    <xf numFmtId="0" fontId="0" fillId="0" borderId="0" xfId="0" applyFont="1" applyProtection="1"/>
    <xf numFmtId="14" fontId="0" fillId="0" borderId="0" xfId="0" applyNumberFormat="1" applyFont="1" applyProtection="1"/>
    <xf numFmtId="0" fontId="10" fillId="0" borderId="0" xfId="0" applyFont="1" applyFill="1" applyAlignment="1" applyProtection="1">
      <alignment horizontal="center" vertical="center"/>
    </xf>
    <xf numFmtId="0" fontId="0" fillId="0" borderId="0" xfId="0" applyFont="1" applyFill="1" applyProtection="1"/>
    <xf numFmtId="0" fontId="0" fillId="12" borderId="10" xfId="0" applyFont="1" applyFill="1" applyBorder="1" applyAlignment="1" applyProtection="1">
      <alignment horizontal="center" vertical="center"/>
    </xf>
    <xf numFmtId="0" fontId="0" fillId="12" borderId="11" xfId="0" applyFont="1" applyFill="1" applyBorder="1" applyAlignment="1" applyProtection="1">
      <alignment horizontal="center" vertical="center"/>
    </xf>
    <xf numFmtId="0" fontId="10" fillId="15" borderId="0" xfId="0" applyFont="1" applyFill="1" applyAlignment="1" applyProtection="1">
      <alignment horizontal="center" vertical="center"/>
    </xf>
    <xf numFmtId="0" fontId="0" fillId="10" borderId="10" xfId="0" applyFont="1" applyFill="1" applyBorder="1" applyAlignment="1" applyProtection="1">
      <alignment horizontal="center" vertical="center"/>
    </xf>
    <xf numFmtId="0" fontId="0" fillId="10" borderId="11" xfId="0" applyFont="1" applyFill="1" applyBorder="1" applyAlignment="1" applyProtection="1">
      <alignment horizontal="center" vertical="center"/>
    </xf>
    <xf numFmtId="164" fontId="0" fillId="13" borderId="1" xfId="0" applyNumberFormat="1" applyFont="1" applyFill="1" applyBorder="1" applyAlignment="1" applyProtection="1">
      <alignment horizontal="right" indent="1"/>
    </xf>
    <xf numFmtId="164" fontId="0" fillId="13" borderId="1" xfId="0" applyNumberFormat="1" applyFont="1" applyFill="1" applyBorder="1" applyAlignment="1" applyProtection="1">
      <alignment horizontal="right"/>
    </xf>
    <xf numFmtId="164" fontId="0" fillId="13" borderId="10" xfId="0" applyNumberFormat="1" applyFont="1" applyFill="1" applyBorder="1" applyAlignment="1" applyProtection="1">
      <alignment horizontal="right" indent="1"/>
    </xf>
    <xf numFmtId="164" fontId="0" fillId="13" borderId="10" xfId="0" applyNumberFormat="1" applyFont="1" applyFill="1" applyBorder="1" applyAlignment="1" applyProtection="1">
      <alignment horizontal="right"/>
    </xf>
    <xf numFmtId="164" fontId="0" fillId="13" borderId="7" xfId="0" applyNumberFormat="1" applyFont="1" applyFill="1" applyBorder="1" applyAlignment="1" applyProtection="1">
      <alignment horizontal="right" indent="1"/>
    </xf>
    <xf numFmtId="164" fontId="0" fillId="13" borderId="7" xfId="0" applyNumberFormat="1" applyFont="1" applyFill="1" applyBorder="1" applyAlignment="1" applyProtection="1">
      <alignment horizontal="right"/>
    </xf>
    <xf numFmtId="164" fontId="0" fillId="13" borderId="8" xfId="0" applyNumberFormat="1" applyFont="1" applyFill="1" applyBorder="1" applyAlignment="1" applyProtection="1">
      <alignment horizontal="right" indent="1"/>
    </xf>
    <xf numFmtId="0" fontId="0" fillId="13" borderId="1" xfId="0" applyFont="1" applyFill="1" applyBorder="1" applyProtection="1"/>
    <xf numFmtId="0" fontId="0" fillId="13" borderId="1" xfId="0" applyFont="1" applyFill="1" applyBorder="1" applyAlignment="1" applyProtection="1"/>
    <xf numFmtId="0" fontId="0" fillId="0" borderId="0" xfId="0" applyFont="1" applyFill="1" applyBorder="1" applyProtection="1"/>
    <xf numFmtId="0" fontId="0" fillId="0" borderId="0" xfId="0" applyFont="1" applyFill="1" applyBorder="1" applyAlignment="1" applyProtection="1"/>
    <xf numFmtId="0" fontId="0" fillId="11" borderId="10" xfId="0" applyFont="1" applyFill="1" applyBorder="1" applyAlignment="1" applyProtection="1">
      <alignment horizontal="center" vertical="center"/>
    </xf>
    <xf numFmtId="0" fontId="0" fillId="11" borderId="11" xfId="0" applyFont="1" applyFill="1" applyBorder="1" applyAlignment="1" applyProtection="1">
      <alignment horizontal="center" vertical="center"/>
    </xf>
    <xf numFmtId="165" fontId="0" fillId="15" borderId="7" xfId="2" applyNumberFormat="1" applyFont="1" applyFill="1" applyBorder="1" applyAlignment="1" applyProtection="1">
      <alignment horizontal="right" indent="1"/>
    </xf>
    <xf numFmtId="165" fontId="0" fillId="13" borderId="7" xfId="2" applyNumberFormat="1" applyFont="1" applyFill="1" applyBorder="1" applyAlignment="1" applyProtection="1">
      <alignment horizontal="right" indent="1"/>
    </xf>
    <xf numFmtId="165" fontId="0" fillId="13" borderId="0" xfId="2" applyNumberFormat="1" applyFont="1" applyFill="1" applyBorder="1" applyAlignment="1" applyProtection="1">
      <alignment horizontal="right" indent="1"/>
    </xf>
    <xf numFmtId="165" fontId="0" fillId="13" borderId="1" xfId="2" applyNumberFormat="1" applyFont="1" applyFill="1" applyBorder="1" applyAlignment="1" applyProtection="1">
      <alignment horizontal="right" indent="1"/>
    </xf>
    <xf numFmtId="164" fontId="0" fillId="13" borderId="7" xfId="2" applyNumberFormat="1" applyFont="1" applyFill="1" applyBorder="1" applyAlignment="1" applyProtection="1">
      <alignment horizontal="right" indent="1"/>
    </xf>
    <xf numFmtId="164" fontId="0" fillId="13" borderId="0" xfId="2" applyNumberFormat="1" applyFont="1" applyFill="1" applyBorder="1" applyAlignment="1" applyProtection="1">
      <alignment horizontal="right" indent="1"/>
    </xf>
    <xf numFmtId="164" fontId="0" fillId="14" borderId="7" xfId="2" applyNumberFormat="1" applyFont="1" applyFill="1" applyBorder="1" applyAlignment="1" applyProtection="1">
      <alignment horizontal="right" indent="1"/>
    </xf>
    <xf numFmtId="164" fontId="0" fillId="14" borderId="10" xfId="2" applyNumberFormat="1" applyFont="1" applyFill="1" applyBorder="1" applyAlignment="1" applyProtection="1">
      <alignment horizontal="right" indent="1"/>
    </xf>
    <xf numFmtId="165" fontId="4" fillId="15" borderId="0" xfId="0" applyNumberFormat="1" applyFont="1" applyFill="1" applyAlignment="1" applyProtection="1">
      <alignment horizontal="center" vertical="center"/>
    </xf>
    <xf numFmtId="165" fontId="0" fillId="13" borderId="0" xfId="2" applyNumberFormat="1" applyFont="1" applyFill="1" applyBorder="1" applyAlignment="1" applyProtection="1">
      <alignment horizontal="right"/>
    </xf>
    <xf numFmtId="164" fontId="0" fillId="13" borderId="8" xfId="2" applyNumberFormat="1" applyFont="1" applyFill="1" applyBorder="1" applyAlignment="1" applyProtection="1">
      <alignment horizontal="right" indent="1"/>
    </xf>
    <xf numFmtId="165" fontId="0" fillId="13" borderId="1" xfId="2" applyNumberFormat="1" applyFont="1" applyFill="1" applyBorder="1" applyAlignment="1" applyProtection="1">
      <alignment horizontal="right"/>
    </xf>
    <xf numFmtId="164" fontId="0" fillId="13" borderId="7" xfId="2" applyNumberFormat="1" applyFont="1" applyFill="1" applyBorder="1" applyAlignment="1" applyProtection="1">
      <alignment horizontal="right"/>
    </xf>
    <xf numFmtId="164" fontId="0" fillId="13" borderId="0" xfId="2" applyNumberFormat="1" applyFont="1" applyFill="1" applyBorder="1" applyAlignment="1" applyProtection="1">
      <alignment horizontal="right"/>
    </xf>
    <xf numFmtId="164" fontId="0" fillId="13" borderId="11" xfId="2" applyNumberFormat="1" applyFont="1" applyFill="1" applyBorder="1" applyAlignment="1" applyProtection="1">
      <alignment horizontal="right" indent="1"/>
    </xf>
    <xf numFmtId="164" fontId="0" fillId="14" borderId="7" xfId="2" applyNumberFormat="1" applyFont="1" applyFill="1" applyBorder="1" applyAlignment="1" applyProtection="1">
      <alignment horizontal="right"/>
    </xf>
    <xf numFmtId="164" fontId="0" fillId="14" borderId="8" xfId="2" applyNumberFormat="1" applyFont="1" applyFill="1" applyBorder="1" applyAlignment="1" applyProtection="1">
      <alignment horizontal="right" indent="1"/>
    </xf>
    <xf numFmtId="164" fontId="0" fillId="14" borderId="10" xfId="2" applyNumberFormat="1" applyFont="1" applyFill="1" applyBorder="1" applyAlignment="1" applyProtection="1">
      <alignment horizontal="right"/>
    </xf>
    <xf numFmtId="164" fontId="15" fillId="14" borderId="11" xfId="2" applyNumberFormat="1" applyFont="1" applyFill="1" applyBorder="1" applyAlignment="1" applyProtection="1">
      <alignment horizontal="right" indent="1"/>
    </xf>
    <xf numFmtId="0" fontId="4" fillId="0" borderId="0" xfId="0" applyFont="1"/>
    <xf numFmtId="9" fontId="4" fillId="0" borderId="0" xfId="0" applyNumberFormat="1" applyFont="1" applyFill="1" applyBorder="1" applyAlignment="1" applyProtection="1">
      <alignment horizontal="center" vertical="center"/>
    </xf>
    <xf numFmtId="0" fontId="0" fillId="2" borderId="0" xfId="0" applyFill="1" applyAlignment="1" applyProtection="1"/>
    <xf numFmtId="0" fontId="0" fillId="0" borderId="0" xfId="0" applyFill="1"/>
    <xf numFmtId="0" fontId="0" fillId="0" borderId="0" xfId="0" applyFill="1" applyAlignment="1">
      <alignment vertical="center" wrapText="1"/>
    </xf>
    <xf numFmtId="0" fontId="4" fillId="0" borderId="0" xfId="0" applyFont="1" applyFill="1" applyAlignment="1">
      <alignment vertical="top" wrapText="1"/>
    </xf>
    <xf numFmtId="0" fontId="18" fillId="0" borderId="0" xfId="0" applyFont="1" applyAlignment="1" applyProtection="1"/>
    <xf numFmtId="0" fontId="18" fillId="0" borderId="0" xfId="0" applyFont="1" applyProtection="1"/>
    <xf numFmtId="0" fontId="16" fillId="0" borderId="12" xfId="0" applyFont="1" applyBorder="1" applyProtection="1"/>
    <xf numFmtId="0" fontId="17" fillId="0" borderId="13" xfId="0" applyFont="1" applyFill="1" applyBorder="1" applyAlignment="1" applyProtection="1">
      <alignment horizontal="center" vertical="center"/>
    </xf>
    <xf numFmtId="0" fontId="4" fillId="0" borderId="14" xfId="0" applyFont="1" applyBorder="1" applyProtection="1"/>
    <xf numFmtId="1" fontId="1" fillId="5" borderId="15" xfId="2" applyNumberFormat="1" applyFont="1" applyFill="1" applyBorder="1" applyAlignment="1" applyProtection="1">
      <alignment horizontal="center" vertical="center"/>
    </xf>
    <xf numFmtId="0" fontId="0" fillId="0" borderId="14" xfId="0" applyBorder="1" applyProtection="1"/>
    <xf numFmtId="1" fontId="2" fillId="5" borderId="15" xfId="2" applyNumberFormat="1" applyFill="1" applyBorder="1" applyAlignment="1" applyProtection="1">
      <alignment horizontal="center" vertical="center"/>
    </xf>
    <xf numFmtId="0" fontId="0" fillId="0" borderId="16" xfId="0" applyBorder="1" applyProtection="1"/>
    <xf numFmtId="0" fontId="4" fillId="2" borderId="17" xfId="0" applyFont="1" applyFill="1" applyBorder="1" applyAlignment="1" applyProtection="1">
      <alignment horizontal="center" vertical="center"/>
    </xf>
    <xf numFmtId="44" fontId="1" fillId="5" borderId="15" xfId="4" applyFont="1" applyFill="1" applyBorder="1" applyAlignment="1" applyProtection="1">
      <alignment horizontal="center" vertical="center"/>
    </xf>
    <xf numFmtId="9" fontId="1" fillId="3" borderId="15" xfId="1" applyFont="1" applyFill="1" applyBorder="1" applyAlignment="1" applyProtection="1">
      <alignment horizontal="center" vertical="center"/>
      <protection locked="0"/>
    </xf>
    <xf numFmtId="0" fontId="0" fillId="0" borderId="14" xfId="0" applyBorder="1" applyAlignment="1" applyProtection="1">
      <alignment wrapText="1"/>
    </xf>
    <xf numFmtId="0" fontId="0" fillId="0" borderId="18" xfId="0" applyBorder="1" applyProtection="1"/>
    <xf numFmtId="0" fontId="0" fillId="0" borderId="20" xfId="0" applyBorder="1" applyProtection="1"/>
    <xf numFmtId="9" fontId="3" fillId="0" borderId="17" xfId="0" applyNumberFormat="1" applyFont="1" applyFill="1" applyBorder="1" applyAlignment="1" applyProtection="1">
      <alignment horizontal="center" vertical="center"/>
    </xf>
    <xf numFmtId="0" fontId="5" fillId="0" borderId="16" xfId="0" applyFont="1" applyBorder="1" applyProtection="1"/>
    <xf numFmtId="0" fontId="5" fillId="0" borderId="17" xfId="0" applyFont="1" applyFill="1" applyBorder="1" applyAlignment="1" applyProtection="1">
      <alignment horizontal="center" vertical="center"/>
    </xf>
    <xf numFmtId="9" fontId="1" fillId="3" borderId="15" xfId="0" applyNumberFormat="1" applyFont="1" applyFill="1" applyBorder="1" applyAlignment="1" applyProtection="1">
      <alignment horizontal="center" vertical="center"/>
      <protection locked="0"/>
    </xf>
    <xf numFmtId="9" fontId="1" fillId="5" borderId="15" xfId="1" applyFont="1" applyFill="1" applyBorder="1" applyAlignment="1" applyProtection="1">
      <alignment horizontal="center" vertical="center"/>
    </xf>
    <xf numFmtId="0" fontId="1" fillId="0" borderId="17" xfId="0" applyFont="1" applyBorder="1" applyProtection="1"/>
    <xf numFmtId="14" fontId="1" fillId="3" borderId="15" xfId="1" applyNumberFormat="1" applyFont="1" applyFill="1" applyBorder="1" applyAlignment="1" applyProtection="1">
      <alignment horizontal="center" vertical="center"/>
      <protection locked="0"/>
    </xf>
    <xf numFmtId="14" fontId="0" fillId="3" borderId="15" xfId="1" applyNumberFormat="1" applyFont="1" applyFill="1" applyBorder="1" applyAlignment="1" applyProtection="1">
      <alignment horizontal="center" vertical="center"/>
      <protection locked="0"/>
    </xf>
    <xf numFmtId="0" fontId="0" fillId="4" borderId="14" xfId="0" applyFill="1" applyBorder="1" applyProtection="1"/>
    <xf numFmtId="14" fontId="2" fillId="4" borderId="15" xfId="1" applyNumberFormat="1" applyFont="1" applyFill="1" applyBorder="1" applyAlignment="1" applyProtection="1">
      <alignment horizontal="center" vertical="center"/>
    </xf>
    <xf numFmtId="0" fontId="0" fillId="7" borderId="14" xfId="0" applyFill="1" applyBorder="1" applyProtection="1"/>
    <xf numFmtId="2" fontId="2" fillId="7" borderId="15" xfId="1" applyNumberFormat="1" applyFont="1" applyFill="1" applyBorder="1" applyAlignment="1" applyProtection="1">
      <alignment horizontal="center" vertical="center"/>
    </xf>
    <xf numFmtId="0" fontId="0" fillId="0" borderId="17" xfId="0" applyBorder="1" applyProtection="1"/>
    <xf numFmtId="44" fontId="0" fillId="3" borderId="19" xfId="4" applyFont="1" applyFill="1" applyBorder="1" applyAlignment="1" applyProtection="1">
      <alignment horizontal="center" vertical="center"/>
      <protection locked="0"/>
    </xf>
    <xf numFmtId="0" fontId="17" fillId="0" borderId="0" xfId="0" applyFont="1" applyProtection="1"/>
    <xf numFmtId="0" fontId="16" fillId="0" borderId="21" xfId="0" applyFont="1" applyBorder="1" applyProtection="1"/>
    <xf numFmtId="0" fontId="6" fillId="0" borderId="22" xfId="0" applyFont="1" applyFill="1" applyBorder="1" applyAlignment="1" applyProtection="1">
      <alignment horizontal="center" vertical="center"/>
    </xf>
    <xf numFmtId="0" fontId="0" fillId="0" borderId="23" xfId="0" applyBorder="1" applyAlignment="1" applyProtection="1"/>
    <xf numFmtId="44" fontId="0" fillId="0" borderId="24" xfId="0" applyNumberFormat="1" applyBorder="1" applyProtection="1"/>
    <xf numFmtId="0" fontId="0" fillId="0" borderId="25" xfId="0" applyBorder="1" applyProtection="1"/>
    <xf numFmtId="0" fontId="0" fillId="0" borderId="26" xfId="0" applyBorder="1" applyAlignment="1" applyProtection="1"/>
    <xf numFmtId="0" fontId="0" fillId="0" borderId="27" xfId="0" applyBorder="1" applyProtection="1"/>
    <xf numFmtId="9" fontId="1" fillId="3" borderId="15" xfId="0" applyNumberFormat="1" applyFont="1" applyFill="1" applyBorder="1" applyAlignment="1" applyProtection="1">
      <alignment horizontal="center" vertical="center"/>
    </xf>
    <xf numFmtId="9" fontId="1" fillId="3" borderId="15" xfId="1" applyFont="1" applyFill="1" applyBorder="1" applyAlignment="1" applyProtection="1">
      <alignment horizontal="center" vertical="center"/>
    </xf>
    <xf numFmtId="44" fontId="0" fillId="3" borderId="19" xfId="4" applyFont="1" applyFill="1" applyBorder="1" applyAlignment="1" applyProtection="1">
      <alignment horizontal="center" vertical="center"/>
    </xf>
    <xf numFmtId="14" fontId="0" fillId="3" borderId="15" xfId="1" applyNumberFormat="1" applyFont="1" applyFill="1" applyBorder="1" applyAlignment="1" applyProtection="1">
      <alignment horizontal="center" vertical="center"/>
    </xf>
    <xf numFmtId="14" fontId="1" fillId="3" borderId="15" xfId="1" applyNumberFormat="1" applyFont="1" applyFill="1" applyBorder="1" applyAlignment="1" applyProtection="1">
      <alignment horizontal="center" vertical="center"/>
    </xf>
    <xf numFmtId="0" fontId="5" fillId="0" borderId="28" xfId="0" applyFont="1" applyFill="1" applyBorder="1"/>
    <xf numFmtId="0" fontId="0" fillId="0" borderId="28" xfId="0" applyFill="1" applyBorder="1"/>
    <xf numFmtId="0" fontId="0" fillId="2" borderId="28" xfId="0" applyFont="1" applyFill="1" applyBorder="1"/>
    <xf numFmtId="0" fontId="0" fillId="2" borderId="28" xfId="0" applyFill="1" applyBorder="1"/>
    <xf numFmtId="0" fontId="0" fillId="0" borderId="28" xfId="0" applyBorder="1"/>
  </cellXfs>
  <cellStyles count="5">
    <cellStyle name="Procent" xfId="1" builtinId="5"/>
    <cellStyle name="Procent 2" xfId="3"/>
    <cellStyle name="Standaard" xfId="0" builtinId="0"/>
    <cellStyle name="Standaard 2" xfId="2"/>
    <cellStyle name="Valuta" xfId="4" builtinId="4"/>
  </cellStyles>
  <dxfs count="12">
    <dxf>
      <font>
        <color theme="0"/>
      </font>
      <fill>
        <patternFill>
          <bgColor rgb="FF008000"/>
        </patternFill>
      </fill>
    </dxf>
    <dxf>
      <font>
        <color theme="0"/>
      </font>
      <fill>
        <patternFill>
          <bgColor rgb="FFFF0000"/>
        </patternFill>
      </fill>
    </dxf>
    <dxf>
      <font>
        <color theme="0"/>
      </font>
      <fill>
        <patternFill>
          <bgColor rgb="FF008000"/>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theme="0"/>
      </font>
      <fill>
        <patternFill>
          <bgColor rgb="FF008000"/>
        </patternFill>
      </fill>
    </dxf>
    <dxf>
      <font>
        <color theme="0"/>
      </font>
      <fill>
        <patternFill>
          <bgColor rgb="FFFF0000"/>
        </patternFill>
      </fill>
    </dxf>
    <dxf>
      <font>
        <color theme="0"/>
      </font>
      <fill>
        <patternFill>
          <bgColor rgb="FF008000"/>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FFCC"/>
      <color rgb="FF008000"/>
      <color rgb="FF0000FF"/>
      <color rgb="FF006600"/>
      <color rgb="FFFFD5D5"/>
      <color rgb="FFFF9393"/>
      <color rgb="FFFFC775"/>
      <color rgb="FFF8E5FF"/>
      <color rgb="FFE69FFF"/>
      <color rgb="FFFFE4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27214</xdr:colOff>
      <xdr:row>32</xdr:row>
      <xdr:rowOff>87086</xdr:rowOff>
    </xdr:from>
    <xdr:to>
      <xdr:col>4</xdr:col>
      <xdr:colOff>386443</xdr:colOff>
      <xdr:row>32</xdr:row>
      <xdr:rowOff>87086</xdr:rowOff>
    </xdr:to>
    <xdr:cxnSp macro="">
      <xdr:nvCxnSpPr>
        <xdr:cNvPr id="20" name="Straight Connector 19"/>
        <xdr:cNvCxnSpPr/>
      </xdr:nvCxnSpPr>
      <xdr:spPr>
        <a:xfrm>
          <a:off x="7053943" y="9334500"/>
          <a:ext cx="359229" cy="0"/>
        </a:xfrm>
        <a:prstGeom prst="line">
          <a:avLst/>
        </a:prstGeom>
        <a:ln w="158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713014</xdr:colOff>
      <xdr:row>32</xdr:row>
      <xdr:rowOff>157843</xdr:rowOff>
    </xdr:from>
    <xdr:to>
      <xdr:col>4</xdr:col>
      <xdr:colOff>718457</xdr:colOff>
      <xdr:row>43</xdr:row>
      <xdr:rowOff>174171</xdr:rowOff>
    </xdr:to>
    <xdr:cxnSp macro="">
      <xdr:nvCxnSpPr>
        <xdr:cNvPr id="24" name="Straight Connector 23"/>
        <xdr:cNvCxnSpPr/>
      </xdr:nvCxnSpPr>
      <xdr:spPr>
        <a:xfrm>
          <a:off x="7739743" y="9405257"/>
          <a:ext cx="5443" cy="2030185"/>
        </a:xfrm>
        <a:prstGeom prst="line">
          <a:avLst/>
        </a:prstGeom>
        <a:ln w="15875">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712305</xdr:colOff>
      <xdr:row>46</xdr:row>
      <xdr:rowOff>140804</xdr:rowOff>
    </xdr:from>
    <xdr:to>
      <xdr:col>4</xdr:col>
      <xdr:colOff>714691</xdr:colOff>
      <xdr:row>48</xdr:row>
      <xdr:rowOff>181288</xdr:rowOff>
    </xdr:to>
    <xdr:cxnSp macro="">
      <xdr:nvCxnSpPr>
        <xdr:cNvPr id="27" name="Straight Connector 26"/>
        <xdr:cNvCxnSpPr/>
      </xdr:nvCxnSpPr>
      <xdr:spPr>
        <a:xfrm>
          <a:off x="7735957" y="9566413"/>
          <a:ext cx="2386" cy="404918"/>
        </a:xfrm>
        <a:prstGeom prst="line">
          <a:avLst/>
        </a:prstGeom>
        <a:ln w="15875">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582706</xdr:colOff>
      <xdr:row>15</xdr:row>
      <xdr:rowOff>53788</xdr:rowOff>
    </xdr:from>
    <xdr:to>
      <xdr:col>7</xdr:col>
      <xdr:colOff>528918</xdr:colOff>
      <xdr:row>20</xdr:row>
      <xdr:rowOff>202676</xdr:rowOff>
    </xdr:to>
    <xdr:pic>
      <xdr:nvPicPr>
        <xdr:cNvPr id="6" name="Afbeelding 5" descr="C:\Users\r.essink_medicijnge\AppData\Local\Microsoft\Windows\INetCache\Content.Outlook\JMEPBVP5\Afbeelding (2).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4941" y="3827929"/>
          <a:ext cx="6104965" cy="153841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27214</xdr:colOff>
      <xdr:row>32</xdr:row>
      <xdr:rowOff>87086</xdr:rowOff>
    </xdr:from>
    <xdr:to>
      <xdr:col>4</xdr:col>
      <xdr:colOff>386443</xdr:colOff>
      <xdr:row>32</xdr:row>
      <xdr:rowOff>87086</xdr:rowOff>
    </xdr:to>
    <xdr:cxnSp macro="">
      <xdr:nvCxnSpPr>
        <xdr:cNvPr id="3" name="Straight Connector 19"/>
        <xdr:cNvCxnSpPr/>
      </xdr:nvCxnSpPr>
      <xdr:spPr>
        <a:xfrm>
          <a:off x="7250974" y="7684226"/>
          <a:ext cx="359229" cy="0"/>
        </a:xfrm>
        <a:prstGeom prst="line">
          <a:avLst/>
        </a:prstGeom>
        <a:ln w="158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713014</xdr:colOff>
      <xdr:row>32</xdr:row>
      <xdr:rowOff>157843</xdr:rowOff>
    </xdr:from>
    <xdr:to>
      <xdr:col>4</xdr:col>
      <xdr:colOff>718457</xdr:colOff>
      <xdr:row>43</xdr:row>
      <xdr:rowOff>174171</xdr:rowOff>
    </xdr:to>
    <xdr:cxnSp macro="">
      <xdr:nvCxnSpPr>
        <xdr:cNvPr id="4" name="Straight Connector 23"/>
        <xdr:cNvCxnSpPr/>
      </xdr:nvCxnSpPr>
      <xdr:spPr>
        <a:xfrm>
          <a:off x="7936774" y="7754983"/>
          <a:ext cx="5443" cy="1997528"/>
        </a:xfrm>
        <a:prstGeom prst="line">
          <a:avLst/>
        </a:prstGeom>
        <a:ln w="15875">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712305</xdr:colOff>
      <xdr:row>46</xdr:row>
      <xdr:rowOff>140804</xdr:rowOff>
    </xdr:from>
    <xdr:to>
      <xdr:col>4</xdr:col>
      <xdr:colOff>714691</xdr:colOff>
      <xdr:row>48</xdr:row>
      <xdr:rowOff>181288</xdr:rowOff>
    </xdr:to>
    <xdr:cxnSp macro="">
      <xdr:nvCxnSpPr>
        <xdr:cNvPr id="5" name="Straight Connector 26"/>
        <xdr:cNvCxnSpPr/>
      </xdr:nvCxnSpPr>
      <xdr:spPr>
        <a:xfrm>
          <a:off x="7936065" y="10237304"/>
          <a:ext cx="2386" cy="406244"/>
        </a:xfrm>
        <a:prstGeom prst="line">
          <a:avLst/>
        </a:prstGeom>
        <a:ln w="15875">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80682</xdr:colOff>
      <xdr:row>15</xdr:row>
      <xdr:rowOff>152399</xdr:rowOff>
    </xdr:from>
    <xdr:to>
      <xdr:col>7</xdr:col>
      <xdr:colOff>202602</xdr:colOff>
      <xdr:row>21</xdr:row>
      <xdr:rowOff>116542</xdr:rowOff>
    </xdr:to>
    <xdr:pic>
      <xdr:nvPicPr>
        <xdr:cNvPr id="6" name="Afbeelding 5" descr="C:\Users\r.essink_medicijnge\AppData\Local\Microsoft\Windows\INetCache\Content.Outlook\JMEPBVP5\Afbeelding (2).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39082" y="3926540"/>
          <a:ext cx="6280673" cy="1631578"/>
        </a:xfrm>
        <a:prstGeom prst="rect">
          <a:avLst/>
        </a:prstGeom>
        <a:noFill/>
        <a:ln>
          <a:noFill/>
        </a:ln>
      </xdr:spPr>
    </xdr:pic>
    <xdr:clientData/>
  </xdr:twoCellAnchor>
  <xdr:twoCellAnchor>
    <xdr:from>
      <xdr:col>4</xdr:col>
      <xdr:colOff>27214</xdr:colOff>
      <xdr:row>32</xdr:row>
      <xdr:rowOff>87086</xdr:rowOff>
    </xdr:from>
    <xdr:to>
      <xdr:col>4</xdr:col>
      <xdr:colOff>386443</xdr:colOff>
      <xdr:row>32</xdr:row>
      <xdr:rowOff>87086</xdr:rowOff>
    </xdr:to>
    <xdr:cxnSp macro="">
      <xdr:nvCxnSpPr>
        <xdr:cNvPr id="7" name="Straight Connector 19"/>
        <xdr:cNvCxnSpPr/>
      </xdr:nvCxnSpPr>
      <xdr:spPr>
        <a:xfrm>
          <a:off x="9613174" y="7059386"/>
          <a:ext cx="359229" cy="0"/>
        </a:xfrm>
        <a:prstGeom prst="line">
          <a:avLst/>
        </a:prstGeom>
        <a:ln w="15875">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713014</xdr:colOff>
      <xdr:row>32</xdr:row>
      <xdr:rowOff>157843</xdr:rowOff>
    </xdr:from>
    <xdr:to>
      <xdr:col>4</xdr:col>
      <xdr:colOff>718457</xdr:colOff>
      <xdr:row>43</xdr:row>
      <xdr:rowOff>174171</xdr:rowOff>
    </xdr:to>
    <xdr:cxnSp macro="">
      <xdr:nvCxnSpPr>
        <xdr:cNvPr id="8" name="Straight Connector 23"/>
        <xdr:cNvCxnSpPr/>
      </xdr:nvCxnSpPr>
      <xdr:spPr>
        <a:xfrm>
          <a:off x="10298974" y="7130143"/>
          <a:ext cx="5443" cy="1913708"/>
        </a:xfrm>
        <a:prstGeom prst="line">
          <a:avLst/>
        </a:prstGeom>
        <a:ln w="15875">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712305</xdr:colOff>
      <xdr:row>46</xdr:row>
      <xdr:rowOff>140804</xdr:rowOff>
    </xdr:from>
    <xdr:to>
      <xdr:col>4</xdr:col>
      <xdr:colOff>714691</xdr:colOff>
      <xdr:row>48</xdr:row>
      <xdr:rowOff>181288</xdr:rowOff>
    </xdr:to>
    <xdr:cxnSp macro="">
      <xdr:nvCxnSpPr>
        <xdr:cNvPr id="9" name="Straight Connector 26"/>
        <xdr:cNvCxnSpPr/>
      </xdr:nvCxnSpPr>
      <xdr:spPr>
        <a:xfrm>
          <a:off x="10298265" y="9521024"/>
          <a:ext cx="2386" cy="391004"/>
        </a:xfrm>
        <a:prstGeom prst="line">
          <a:avLst/>
        </a:prstGeom>
        <a:ln w="15875">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defaultRowHeight="13.2" x14ac:dyDescent="0.25"/>
  <cols>
    <col min="1" max="1" width="85.88671875" customWidth="1"/>
  </cols>
  <sheetData>
    <row r="1" spans="1:1" ht="17.399999999999999" x14ac:dyDescent="0.3">
      <c r="A1" s="11" t="s">
        <v>60</v>
      </c>
    </row>
    <row r="3" spans="1:1" ht="39.6" x14ac:dyDescent="0.25">
      <c r="A3" s="8" t="s">
        <v>49</v>
      </c>
    </row>
    <row r="4" spans="1:1" s="98" customFormat="1" x14ac:dyDescent="0.25"/>
    <row r="5" spans="1:1" s="98" customFormat="1" x14ac:dyDescent="0.25">
      <c r="A5" s="98" t="s">
        <v>50</v>
      </c>
    </row>
    <row r="6" spans="1:1" s="98" customFormat="1" x14ac:dyDescent="0.25"/>
    <row r="7" spans="1:1" x14ac:dyDescent="0.25">
      <c r="A7" t="s">
        <v>11</v>
      </c>
    </row>
    <row r="8" spans="1:1" ht="79.2" x14ac:dyDescent="0.25">
      <c r="A8" s="8" t="s">
        <v>12</v>
      </c>
    </row>
  </sheetData>
  <pageMargins left="0.70866141732283472" right="0.70866141732283472" top="1.1417322834645669" bottom="0.74803149606299213" header="0.31496062992125984" footer="0.31496062992125984"/>
  <pageSetup paperSize="9"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tabSelected="1" topLeftCell="A14" workbookViewId="0">
      <selection activeCell="A21" sqref="A21:XFD21"/>
    </sheetView>
  </sheetViews>
  <sheetFormatPr defaultRowHeight="13.2" x14ac:dyDescent="0.25"/>
  <cols>
    <col min="1" max="1" width="142.44140625" customWidth="1"/>
  </cols>
  <sheetData>
    <row r="1" spans="1:1" x14ac:dyDescent="0.25">
      <c r="A1" s="7" t="s">
        <v>22</v>
      </c>
    </row>
    <row r="2" spans="1:1" x14ac:dyDescent="0.25">
      <c r="A2" t="s">
        <v>57</v>
      </c>
    </row>
    <row r="3" spans="1:1" x14ac:dyDescent="0.25">
      <c r="A3" t="s">
        <v>61</v>
      </c>
    </row>
    <row r="4" spans="1:1" x14ac:dyDescent="0.25">
      <c r="A4" t="s">
        <v>52</v>
      </c>
    </row>
    <row r="5" spans="1:1" x14ac:dyDescent="0.25">
      <c r="A5" t="s">
        <v>29</v>
      </c>
    </row>
    <row r="7" spans="1:1" s="7" customFormat="1" x14ac:dyDescent="0.25">
      <c r="A7" s="7" t="s">
        <v>23</v>
      </c>
    </row>
    <row r="8" spans="1:1" x14ac:dyDescent="0.25">
      <c r="A8" t="s">
        <v>13</v>
      </c>
    </row>
    <row r="9" spans="1:1" x14ac:dyDescent="0.25">
      <c r="A9" t="s">
        <v>14</v>
      </c>
    </row>
    <row r="10" spans="1:1" x14ac:dyDescent="0.25">
      <c r="A10" t="s">
        <v>63</v>
      </c>
    </row>
    <row r="12" spans="1:1" s="7" customFormat="1" x14ac:dyDescent="0.25">
      <c r="A12" s="7" t="s">
        <v>24</v>
      </c>
    </row>
    <row r="13" spans="1:1" x14ac:dyDescent="0.25">
      <c r="A13" t="s">
        <v>51</v>
      </c>
    </row>
    <row r="14" spans="1:1" x14ac:dyDescent="0.25">
      <c r="A14" t="s">
        <v>15</v>
      </c>
    </row>
    <row r="15" spans="1:1" x14ac:dyDescent="0.25">
      <c r="A15" t="s">
        <v>16</v>
      </c>
    </row>
    <row r="16" spans="1:1" x14ac:dyDescent="0.25">
      <c r="A16" t="s">
        <v>59</v>
      </c>
    </row>
    <row r="18" spans="1:1" x14ac:dyDescent="0.25">
      <c r="A18" t="s">
        <v>27</v>
      </c>
    </row>
    <row r="19" spans="1:1" x14ac:dyDescent="0.25">
      <c r="A19" t="s">
        <v>58</v>
      </c>
    </row>
    <row r="20" spans="1:1" x14ac:dyDescent="0.25">
      <c r="A20" t="s">
        <v>28</v>
      </c>
    </row>
    <row r="21" spans="1:1" x14ac:dyDescent="0.25">
      <c r="A21" t="s">
        <v>89</v>
      </c>
    </row>
    <row r="23" spans="1:1" x14ac:dyDescent="0.25">
      <c r="A23" t="s">
        <v>48</v>
      </c>
    </row>
    <row r="25" spans="1:1" s="144" customFormat="1" x14ac:dyDescent="0.25">
      <c r="A25" s="143" t="s">
        <v>25</v>
      </c>
    </row>
    <row r="26" spans="1:1" s="146" customFormat="1" x14ac:dyDescent="0.25">
      <c r="A26" s="145" t="s">
        <v>83</v>
      </c>
    </row>
    <row r="27" spans="1:1" s="146" customFormat="1" x14ac:dyDescent="0.25">
      <c r="A27" s="145" t="s">
        <v>84</v>
      </c>
    </row>
    <row r="28" spans="1:1" s="146" customFormat="1" x14ac:dyDescent="0.25">
      <c r="A28" s="145" t="s">
        <v>86</v>
      </c>
    </row>
    <row r="29" spans="1:1" s="146" customFormat="1" x14ac:dyDescent="0.25">
      <c r="A29" s="145" t="s">
        <v>87</v>
      </c>
    </row>
    <row r="30" spans="1:1" s="146" customFormat="1" x14ac:dyDescent="0.25">
      <c r="A30" s="146" t="s">
        <v>62</v>
      </c>
    </row>
    <row r="31" spans="1:1" s="146" customFormat="1" x14ac:dyDescent="0.25">
      <c r="A31" s="146" t="s">
        <v>85</v>
      </c>
    </row>
    <row r="32" spans="1:1" s="147" customFormat="1" x14ac:dyDescent="0.25">
      <c r="A32" s="147" t="s">
        <v>26</v>
      </c>
    </row>
    <row r="33" spans="1:1" x14ac:dyDescent="0.25">
      <c r="A33" t="s">
        <v>46</v>
      </c>
    </row>
    <row r="34" spans="1:1" x14ac:dyDescent="0.25">
      <c r="A34" t="s">
        <v>47</v>
      </c>
    </row>
  </sheetData>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D12"/>
  <sheetViews>
    <sheetView zoomScale="85" zoomScaleNormal="85" workbookViewId="0">
      <selection activeCell="A13" sqref="A13"/>
    </sheetView>
  </sheetViews>
  <sheetFormatPr defaultRowHeight="25.2" customHeight="1" x14ac:dyDescent="0.25"/>
  <cols>
    <col min="1" max="1" width="118" bestFit="1" customWidth="1"/>
    <col min="2" max="2" width="11.44140625" style="1" customWidth="1"/>
    <col min="3" max="3" width="102.6640625" style="8" bestFit="1" customWidth="1"/>
    <col min="4" max="4" width="11.5546875" style="2" bestFit="1" customWidth="1"/>
    <col min="5" max="5" width="53.109375" bestFit="1" customWidth="1"/>
    <col min="6" max="8" width="15.6640625" customWidth="1"/>
    <col min="9" max="9" width="3.5546875" customWidth="1"/>
    <col min="10" max="10" width="4.6640625" customWidth="1"/>
    <col min="11" max="11" width="5.6640625" customWidth="1"/>
    <col min="12" max="12" width="1.33203125" customWidth="1"/>
    <col min="13" max="13" width="26" bestFit="1" customWidth="1"/>
  </cols>
  <sheetData>
    <row r="1" spans="1:4" s="7" customFormat="1" ht="13.2" customHeight="1" x14ac:dyDescent="0.25">
      <c r="A1" s="7" t="s">
        <v>23</v>
      </c>
      <c r="B1" s="12"/>
      <c r="C1" s="14"/>
      <c r="D1" s="13"/>
    </row>
    <row r="2" spans="1:4" ht="13.2" customHeight="1" x14ac:dyDescent="0.25">
      <c r="A2" t="s">
        <v>14</v>
      </c>
      <c r="B2"/>
      <c r="D2"/>
    </row>
    <row r="3" spans="1:4" ht="13.2" customHeight="1" x14ac:dyDescent="0.25">
      <c r="A3" t="s">
        <v>63</v>
      </c>
      <c r="B3"/>
      <c r="D3"/>
    </row>
    <row r="4" spans="1:4" ht="13.2" customHeight="1" x14ac:dyDescent="0.25"/>
    <row r="5" spans="1:4" ht="25.2" customHeight="1" x14ac:dyDescent="0.25">
      <c r="A5" s="7" t="s">
        <v>72</v>
      </c>
      <c r="B5" s="6"/>
      <c r="C5" s="8" t="s">
        <v>2</v>
      </c>
    </row>
    <row r="6" spans="1:4" ht="25.2" customHeight="1" x14ac:dyDescent="0.25">
      <c r="A6" s="3" t="s">
        <v>65</v>
      </c>
      <c r="B6" s="45"/>
      <c r="C6" s="15" t="s">
        <v>30</v>
      </c>
    </row>
    <row r="7" spans="1:4" ht="25.2" customHeight="1" x14ac:dyDescent="0.25">
      <c r="A7" s="3" t="s">
        <v>66</v>
      </c>
      <c r="B7" s="9">
        <f>50*52</f>
        <v>2600</v>
      </c>
      <c r="C7" s="15" t="s">
        <v>64</v>
      </c>
    </row>
    <row r="8" spans="1:4" ht="25.2" customHeight="1" x14ac:dyDescent="0.25">
      <c r="A8" s="3" t="s">
        <v>67</v>
      </c>
      <c r="B8" s="47">
        <f>B7/12</f>
        <v>216.66666666666666</v>
      </c>
      <c r="C8" s="15"/>
    </row>
    <row r="9" spans="1:4" ht="25.2" customHeight="1" x14ac:dyDescent="0.25">
      <c r="A9" s="3" t="s">
        <v>68</v>
      </c>
      <c r="B9" s="10">
        <f>B6/B7</f>
        <v>0</v>
      </c>
      <c r="C9" s="15"/>
    </row>
    <row r="10" spans="1:4" ht="25.2" customHeight="1" x14ac:dyDescent="0.25">
      <c r="B10" s="4"/>
      <c r="C10" s="15"/>
    </row>
    <row r="11" spans="1:4" ht="25.2" customHeight="1" x14ac:dyDescent="0.25">
      <c r="A11" s="3" t="s">
        <v>69</v>
      </c>
      <c r="B11" s="46">
        <v>4.13</v>
      </c>
      <c r="C11" s="99" t="s">
        <v>70</v>
      </c>
    </row>
    <row r="12" spans="1:4" s="95" customFormat="1" ht="25.2" customHeight="1" x14ac:dyDescent="0.25">
      <c r="B12" s="96"/>
      <c r="C12" s="100"/>
    </row>
  </sheetData>
  <sheetProtection selectLockedCells="1"/>
  <pageMargins left="0.70866141732283472" right="0.70866141732283472" top="0.98425196850393704" bottom="0.74803149606299213" header="0.31496062992125984" footer="0.31496062992125984"/>
  <pageSetup paperSize="9" scale="69" fitToHeight="2" orientation="portrait" r:id="rId1"/>
  <headerFooter>
    <oddHeader>&amp;L&amp;14&amp;K04+000
Scenario analyse Enbrel-Benepali switch
&amp;R&amp;G</oddHeader>
    <oddFooter>&amp;C&amp;F / &amp;A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I71"/>
  <sheetViews>
    <sheetView topLeftCell="A16" zoomScale="85" zoomScaleNormal="85" workbookViewId="0">
      <selection activeCell="B21" sqref="B21"/>
    </sheetView>
  </sheetViews>
  <sheetFormatPr defaultColWidth="9.109375" defaultRowHeight="13.2" x14ac:dyDescent="0.25"/>
  <cols>
    <col min="1" max="1" width="94" style="19" bestFit="1" customWidth="1"/>
    <col min="2" max="2" width="14.44140625" style="17" bestFit="1" customWidth="1"/>
    <col min="3" max="3" width="17.33203125" style="18" customWidth="1"/>
    <col min="4" max="4" width="14" style="19" customWidth="1"/>
    <col min="5" max="5" width="16.6640625" style="19" customWidth="1"/>
    <col min="6" max="6" width="59.5546875" style="20" customWidth="1"/>
    <col min="7" max="7" width="13.44140625" style="19" bestFit="1" customWidth="1"/>
    <col min="8" max="8" width="17.33203125" style="19" customWidth="1"/>
    <col min="9" max="9" width="14" style="19" customWidth="1"/>
    <col min="10" max="10" width="4.6640625" style="19" customWidth="1"/>
    <col min="11" max="11" width="5.6640625" style="19" customWidth="1"/>
    <col min="12" max="12" width="1.33203125" style="19" customWidth="1"/>
    <col min="13" max="13" width="26" style="19" bestFit="1" customWidth="1"/>
    <col min="14" max="16384" width="9.109375" style="19"/>
  </cols>
  <sheetData>
    <row r="1" spans="1:7" x14ac:dyDescent="0.25">
      <c r="A1" s="16" t="s">
        <v>31</v>
      </c>
    </row>
    <row r="2" spans="1:7" x14ac:dyDescent="0.25">
      <c r="A2" s="19" t="s">
        <v>78</v>
      </c>
      <c r="B2" s="19"/>
      <c r="C2" s="19"/>
    </row>
    <row r="4" spans="1:7" ht="19.5" customHeight="1" thickBot="1" x14ac:dyDescent="0.3">
      <c r="A4" s="16" t="s">
        <v>3</v>
      </c>
      <c r="B4" s="5"/>
    </row>
    <row r="5" spans="1:7" s="102" customFormat="1" ht="19.5" customHeight="1" thickTop="1" x14ac:dyDescent="0.25">
      <c r="A5" s="103" t="s">
        <v>73</v>
      </c>
      <c r="B5" s="104"/>
      <c r="C5" s="101"/>
      <c r="F5" s="130"/>
    </row>
    <row r="6" spans="1:7" ht="22.2" customHeight="1" x14ac:dyDescent="0.25">
      <c r="A6" s="105" t="s">
        <v>71</v>
      </c>
      <c r="B6" s="106">
        <f>Voorblad!B6</f>
        <v>0</v>
      </c>
      <c r="F6" s="19"/>
    </row>
    <row r="7" spans="1:7" ht="22.2" customHeight="1" x14ac:dyDescent="0.25">
      <c r="A7" s="107" t="s">
        <v>74</v>
      </c>
      <c r="B7" s="106">
        <f>Voorblad!B7</f>
        <v>2600</v>
      </c>
      <c r="F7" s="19"/>
    </row>
    <row r="8" spans="1:7" ht="22.2" customHeight="1" x14ac:dyDescent="0.25">
      <c r="A8" s="107" t="s">
        <v>75</v>
      </c>
      <c r="B8" s="106">
        <f>Voorblad!B8</f>
        <v>216.66666666666666</v>
      </c>
      <c r="F8" s="19"/>
    </row>
    <row r="9" spans="1:7" ht="22.2" customHeight="1" x14ac:dyDescent="0.25">
      <c r="A9" s="107" t="s">
        <v>76</v>
      </c>
      <c r="B9" s="108">
        <f>Voorblad!B9</f>
        <v>0</v>
      </c>
      <c r="F9" s="19"/>
    </row>
    <row r="10" spans="1:7" ht="22.2" customHeight="1" x14ac:dyDescent="0.25">
      <c r="A10" s="109"/>
      <c r="B10" s="110"/>
      <c r="F10" s="19"/>
      <c r="G10" s="21"/>
    </row>
    <row r="11" spans="1:7" ht="22.2" customHeight="1" x14ac:dyDescent="0.25">
      <c r="A11" s="107" t="s">
        <v>77</v>
      </c>
      <c r="B11" s="111">
        <f>Voorblad!B11</f>
        <v>4.13</v>
      </c>
      <c r="D11" s="22"/>
    </row>
    <row r="12" spans="1:7" ht="22.2" customHeight="1" x14ac:dyDescent="0.25">
      <c r="A12" s="105" t="s">
        <v>53</v>
      </c>
      <c r="B12" s="112"/>
      <c r="C12" s="97"/>
    </row>
    <row r="13" spans="1:7" ht="22.2" customHeight="1" x14ac:dyDescent="0.25">
      <c r="A13" s="107" t="s">
        <v>54</v>
      </c>
      <c r="B13" s="112"/>
      <c r="C13" s="97"/>
    </row>
    <row r="14" spans="1:7" ht="22.2" customHeight="1" x14ac:dyDescent="0.25">
      <c r="A14" s="113" t="s">
        <v>55</v>
      </c>
      <c r="B14" s="112"/>
      <c r="C14" s="97"/>
    </row>
    <row r="15" spans="1:7" ht="22.2" customHeight="1" x14ac:dyDescent="0.25">
      <c r="A15" s="115" t="s">
        <v>56</v>
      </c>
      <c r="B15" s="112"/>
      <c r="C15" s="97"/>
    </row>
    <row r="16" spans="1:7" ht="22.2" customHeight="1" x14ac:dyDescent="0.25">
      <c r="A16" s="109"/>
      <c r="B16" s="116"/>
    </row>
    <row r="17" spans="1:9" ht="22.2" customHeight="1" x14ac:dyDescent="0.25">
      <c r="A17" s="117" t="s">
        <v>5</v>
      </c>
      <c r="B17" s="118"/>
    </row>
    <row r="18" spans="1:9" ht="22.2" customHeight="1" x14ac:dyDescent="0.25">
      <c r="A18" s="107" t="s">
        <v>79</v>
      </c>
      <c r="B18" s="119"/>
    </row>
    <row r="19" spans="1:9" ht="22.2" customHeight="1" x14ac:dyDescent="0.25">
      <c r="A19" s="107" t="s">
        <v>88</v>
      </c>
      <c r="B19" s="120">
        <f>100%-B18</f>
        <v>1</v>
      </c>
    </row>
    <row r="20" spans="1:9" ht="22.2" customHeight="1" x14ac:dyDescent="0.25">
      <c r="A20" s="109"/>
      <c r="B20" s="121"/>
    </row>
    <row r="21" spans="1:9" ht="22.2" customHeight="1" x14ac:dyDescent="0.25">
      <c r="A21" s="107" t="s">
        <v>32</v>
      </c>
      <c r="B21" s="122"/>
    </row>
    <row r="22" spans="1:9" ht="18.600000000000001" customHeight="1" x14ac:dyDescent="0.25">
      <c r="A22" s="107" t="s">
        <v>18</v>
      </c>
      <c r="B22" s="123"/>
    </row>
    <row r="23" spans="1:9" ht="14.4" hidden="1" x14ac:dyDescent="0.25">
      <c r="A23" s="124" t="s">
        <v>34</v>
      </c>
      <c r="B23" s="125" t="str">
        <f>"1-1-"&amp; YEAR(B21)</f>
        <v>1-1-1900</v>
      </c>
    </row>
    <row r="24" spans="1:9" ht="15" hidden="1" x14ac:dyDescent="0.35">
      <c r="A24" s="124" t="s">
        <v>33</v>
      </c>
      <c r="B24" s="125">
        <f>DATE(YEAR(B21)+1,12,31)</f>
        <v>731</v>
      </c>
      <c r="E24" s="23"/>
    </row>
    <row r="25" spans="1:9" ht="14.4" hidden="1" x14ac:dyDescent="0.25">
      <c r="A25" s="126" t="s">
        <v>35</v>
      </c>
      <c r="B25" s="127">
        <f>ROUND((B21-B23)/365*12,0)</f>
        <v>0</v>
      </c>
    </row>
    <row r="26" spans="1:9" ht="14.4" hidden="1" x14ac:dyDescent="0.25">
      <c r="A26" s="126" t="s">
        <v>36</v>
      </c>
      <c r="B26" s="127">
        <f>ROUND(((B22-B21)/365*12),0)</f>
        <v>0</v>
      </c>
    </row>
    <row r="27" spans="1:9" ht="14.4" hidden="1" x14ac:dyDescent="0.25">
      <c r="A27" s="126" t="s">
        <v>37</v>
      </c>
      <c r="B27" s="127">
        <f>ROUND(((B24-B22)/365*12),0)</f>
        <v>24</v>
      </c>
    </row>
    <row r="28" spans="1:9" ht="22.2" customHeight="1" x14ac:dyDescent="0.25">
      <c r="A28" s="109"/>
      <c r="B28" s="128"/>
      <c r="C28" s="19"/>
    </row>
    <row r="29" spans="1:9" ht="22.2" customHeight="1" thickBot="1" x14ac:dyDescent="0.3">
      <c r="A29" s="114" t="s">
        <v>4</v>
      </c>
      <c r="B29" s="129"/>
      <c r="C29" s="18" t="s">
        <v>19</v>
      </c>
    </row>
    <row r="30" spans="1:9" ht="22.2" customHeight="1" thickTop="1" x14ac:dyDescent="0.25">
      <c r="A30" s="24"/>
      <c r="B30" s="19"/>
      <c r="C30" s="19"/>
    </row>
    <row r="31" spans="1:9" s="26" customFormat="1" ht="17.399999999999999" x14ac:dyDescent="0.25">
      <c r="A31" s="25"/>
      <c r="B31" s="25"/>
      <c r="C31" s="25"/>
      <c r="D31" s="25"/>
      <c r="E31" s="25"/>
      <c r="F31" s="25"/>
      <c r="G31" s="25"/>
      <c r="H31" s="25"/>
      <c r="I31" s="25"/>
    </row>
    <row r="32" spans="1:9" s="26" customFormat="1" ht="13.35" customHeight="1" x14ac:dyDescent="0.25">
      <c r="A32" s="27" t="s">
        <v>80</v>
      </c>
      <c r="B32" s="58" t="s">
        <v>0</v>
      </c>
      <c r="C32" s="58"/>
      <c r="D32" s="59" t="s">
        <v>40</v>
      </c>
      <c r="E32" s="25"/>
      <c r="F32" s="25"/>
      <c r="G32" s="25"/>
      <c r="H32" s="25"/>
      <c r="I32" s="25"/>
    </row>
    <row r="33" spans="1:9" s="26" customFormat="1" ht="13.35" customHeight="1" x14ac:dyDescent="0.25">
      <c r="A33" s="28" t="s">
        <v>81</v>
      </c>
      <c r="B33" s="76">
        <f>B6*B11</f>
        <v>0</v>
      </c>
      <c r="C33" s="60"/>
      <c r="D33" s="84">
        <f>B6*(1-B12)*B11</f>
        <v>0</v>
      </c>
      <c r="E33" s="29">
        <f>D33</f>
        <v>0</v>
      </c>
      <c r="F33" s="30" t="s">
        <v>42</v>
      </c>
      <c r="G33" s="25"/>
      <c r="H33" s="25"/>
      <c r="I33" s="25"/>
    </row>
    <row r="34" spans="1:9" ht="13.35" customHeight="1" x14ac:dyDescent="0.25">
      <c r="B34" s="54"/>
      <c r="C34" s="54"/>
      <c r="D34" s="54"/>
    </row>
    <row r="35" spans="1:9" ht="12.75" customHeight="1" x14ac:dyDescent="0.25">
      <c r="A35" s="31" t="str">
        <f>CONCATENATE("Kosten switchjaren ",YEAR(B23),"-",YEAR(B24))</f>
        <v>Kosten switchjaren 1900-1901</v>
      </c>
      <c r="B35" s="61" t="s">
        <v>0</v>
      </c>
      <c r="C35" s="61" t="s">
        <v>20</v>
      </c>
      <c r="D35" s="62" t="s">
        <v>21</v>
      </c>
    </row>
    <row r="36" spans="1:9" ht="15" customHeight="1" x14ac:dyDescent="0.25">
      <c r="A36" s="28" t="s">
        <v>81</v>
      </c>
      <c r="B36" s="77">
        <f>B6*B11*2</f>
        <v>0</v>
      </c>
      <c r="C36" s="85">
        <f>(B9*B8*(1-B12)*B11*B25)+(B9*B8*(1-B13)*B11*(B26+B27))</f>
        <v>0</v>
      </c>
      <c r="D36" s="86"/>
    </row>
    <row r="37" spans="1:9" ht="15" customHeight="1" x14ac:dyDescent="0.25">
      <c r="A37" s="32" t="s">
        <v>6</v>
      </c>
      <c r="B37" s="78"/>
      <c r="C37" s="85"/>
      <c r="D37" s="48">
        <f>B9*B8*(1-B12)*B11*B25</f>
        <v>0</v>
      </c>
    </row>
    <row r="38" spans="1:9" ht="15" customHeight="1" x14ac:dyDescent="0.25">
      <c r="A38" s="32" t="s">
        <v>38</v>
      </c>
      <c r="B38" s="78"/>
      <c r="C38" s="85"/>
      <c r="D38" s="48">
        <f>(B9*B19*B8*(1-B14)*B11*B26)</f>
        <v>0</v>
      </c>
    </row>
    <row r="39" spans="1:9" x14ac:dyDescent="0.25">
      <c r="A39" s="32" t="s">
        <v>7</v>
      </c>
      <c r="B39" s="78"/>
      <c r="C39" s="85"/>
      <c r="D39" s="48">
        <f>(0.5*B9*B18*B8*(1-B14)*B11*B26)</f>
        <v>0</v>
      </c>
    </row>
    <row r="40" spans="1:9" x14ac:dyDescent="0.25">
      <c r="A40" s="33" t="s">
        <v>39</v>
      </c>
      <c r="B40" s="79"/>
      <c r="C40" s="87"/>
      <c r="D40" s="49">
        <f>+B9*(B19)*B8*(1-B14)*B11*B27</f>
        <v>0</v>
      </c>
    </row>
    <row r="41" spans="1:9" x14ac:dyDescent="0.25">
      <c r="A41" s="34" t="s">
        <v>82</v>
      </c>
      <c r="B41" s="80"/>
      <c r="C41" s="88"/>
      <c r="D41" s="86"/>
    </row>
    <row r="42" spans="1:9" x14ac:dyDescent="0.25">
      <c r="A42" s="35" t="s">
        <v>7</v>
      </c>
      <c r="B42" s="81"/>
      <c r="C42" s="89"/>
      <c r="D42" s="50">
        <f>(0.5*B9*B18*B8*(1-B15)*B11*B26)</f>
        <v>0</v>
      </c>
    </row>
    <row r="43" spans="1:9" x14ac:dyDescent="0.25">
      <c r="A43" s="36" t="s">
        <v>8</v>
      </c>
      <c r="B43" s="63"/>
      <c r="C43" s="64"/>
      <c r="D43" s="51">
        <f>B9*B18*B8*(1-B15)*B11*B27</f>
        <v>0</v>
      </c>
    </row>
    <row r="44" spans="1:9" x14ac:dyDescent="0.25">
      <c r="A44" s="37" t="s">
        <v>1</v>
      </c>
      <c r="B44" s="65"/>
      <c r="C44" s="66"/>
      <c r="D44" s="90">
        <f>B29*B9*B18</f>
        <v>0</v>
      </c>
    </row>
    <row r="45" spans="1:9" x14ac:dyDescent="0.25">
      <c r="A45" s="38" t="s">
        <v>9</v>
      </c>
      <c r="B45" s="67">
        <f>SUM(B36:B44)</f>
        <v>0</v>
      </c>
      <c r="C45" s="68">
        <f>SUM(C36:C44)</f>
        <v>0</v>
      </c>
      <c r="D45" s="69">
        <f>SUM(D36:D44)</f>
        <v>0</v>
      </c>
      <c r="E45" s="29">
        <f>D45/2</f>
        <v>0</v>
      </c>
      <c r="F45" s="30" t="s">
        <v>41</v>
      </c>
    </row>
    <row r="46" spans="1:9" x14ac:dyDescent="0.25">
      <c r="A46" s="39" t="s">
        <v>10</v>
      </c>
      <c r="B46" s="70"/>
      <c r="C46" s="71"/>
      <c r="D46" s="40">
        <f>C45-D45</f>
        <v>0</v>
      </c>
      <c r="E46" s="29">
        <f>E33-E45</f>
        <v>0</v>
      </c>
      <c r="F46" s="30" t="s">
        <v>43</v>
      </c>
    </row>
    <row r="47" spans="1:9" ht="15.75" customHeight="1" x14ac:dyDescent="0.25">
      <c r="A47" s="41"/>
      <c r="B47" s="72"/>
      <c r="C47" s="73"/>
      <c r="D47" s="72"/>
    </row>
    <row r="48" spans="1:9" ht="13.2" customHeight="1" x14ac:dyDescent="0.25">
      <c r="A48" s="43" t="s">
        <v>44</v>
      </c>
      <c r="B48" s="74" t="s">
        <v>0</v>
      </c>
      <c r="C48" s="74" t="s">
        <v>20</v>
      </c>
      <c r="D48" s="75" t="s">
        <v>21</v>
      </c>
    </row>
    <row r="49" spans="1:6" x14ac:dyDescent="0.25">
      <c r="A49" s="28" t="s">
        <v>81</v>
      </c>
      <c r="B49" s="82">
        <f>B9*B8*12*B11</f>
        <v>0</v>
      </c>
      <c r="C49" s="91">
        <f>B9*B8*(1-B13)*B11*12</f>
        <v>0</v>
      </c>
      <c r="D49" s="92">
        <f>B9*B19*B8*(1-B14)*B11*12</f>
        <v>0</v>
      </c>
    </row>
    <row r="50" spans="1:6" x14ac:dyDescent="0.25">
      <c r="A50" s="44" t="s">
        <v>82</v>
      </c>
      <c r="B50" s="83"/>
      <c r="C50" s="93"/>
      <c r="D50" s="94">
        <f>B9*B18*B8*(1-B15)*B11*12</f>
        <v>0</v>
      </c>
      <c r="E50" s="29">
        <f>D50+D49</f>
        <v>0</v>
      </c>
      <c r="F50" s="30" t="s">
        <v>42</v>
      </c>
    </row>
    <row r="51" spans="1:6" x14ac:dyDescent="0.25">
      <c r="A51" s="41"/>
      <c r="B51" s="41"/>
      <c r="C51" s="42"/>
      <c r="E51" s="29">
        <f>E33-E50</f>
        <v>0</v>
      </c>
      <c r="F51" s="30" t="s">
        <v>43</v>
      </c>
    </row>
    <row r="52" spans="1:6" ht="15.75" customHeight="1" x14ac:dyDescent="0.25">
      <c r="B52" s="19"/>
      <c r="C52" s="19"/>
      <c r="F52" s="30"/>
    </row>
    <row r="53" spans="1:6" ht="12.75" customHeight="1" x14ac:dyDescent="0.25">
      <c r="B53" s="19"/>
      <c r="C53" s="19"/>
    </row>
    <row r="54" spans="1:6" x14ac:dyDescent="0.25">
      <c r="B54" s="19"/>
      <c r="C54" s="19"/>
    </row>
    <row r="55" spans="1:6" x14ac:dyDescent="0.25">
      <c r="B55" s="19"/>
      <c r="C55" s="19"/>
    </row>
    <row r="56" spans="1:6" x14ac:dyDescent="0.25">
      <c r="B56" s="19"/>
      <c r="C56" s="19"/>
    </row>
    <row r="57" spans="1:6" x14ac:dyDescent="0.25">
      <c r="B57" s="19"/>
      <c r="C57" s="19"/>
    </row>
    <row r="58" spans="1:6" x14ac:dyDescent="0.25">
      <c r="B58" s="19"/>
      <c r="C58" s="19"/>
    </row>
    <row r="59" spans="1:6" x14ac:dyDescent="0.25">
      <c r="B59" s="19"/>
      <c r="C59" s="19"/>
    </row>
    <row r="60" spans="1:6" x14ac:dyDescent="0.25">
      <c r="B60" s="19"/>
      <c r="C60" s="19"/>
    </row>
    <row r="61" spans="1:6" x14ac:dyDescent="0.25">
      <c r="B61" s="19"/>
      <c r="C61" s="19"/>
    </row>
    <row r="62" spans="1:6" x14ac:dyDescent="0.25">
      <c r="B62" s="19"/>
      <c r="C62" s="19"/>
    </row>
    <row r="63" spans="1:6" x14ac:dyDescent="0.25">
      <c r="B63" s="19"/>
    </row>
    <row r="64" spans="1:6" x14ac:dyDescent="0.25">
      <c r="B64" s="19"/>
    </row>
    <row r="65" spans="2:2" x14ac:dyDescent="0.25">
      <c r="B65" s="19"/>
    </row>
    <row r="66" spans="2:2" x14ac:dyDescent="0.25">
      <c r="B66" s="19"/>
    </row>
    <row r="67" spans="2:2" x14ac:dyDescent="0.25">
      <c r="B67" s="19"/>
    </row>
    <row r="68" spans="2:2" x14ac:dyDescent="0.25">
      <c r="B68" s="19"/>
    </row>
    <row r="69" spans="2:2" x14ac:dyDescent="0.25">
      <c r="B69" s="19"/>
    </row>
    <row r="70" spans="2:2" x14ac:dyDescent="0.25">
      <c r="B70" s="19"/>
    </row>
    <row r="71" spans="2:2" x14ac:dyDescent="0.25">
      <c r="B71" s="19"/>
    </row>
  </sheetData>
  <sheetProtection sheet="1" objects="1" scenarios="1" selectLockedCells="1"/>
  <conditionalFormatting sqref="D46">
    <cfRule type="cellIs" dxfId="11" priority="23" operator="greaterThan">
      <formula>0</formula>
    </cfRule>
    <cfRule type="cellIs" dxfId="10" priority="24" operator="lessThan">
      <formula>0</formula>
    </cfRule>
  </conditionalFormatting>
  <conditionalFormatting sqref="E46">
    <cfRule type="cellIs" dxfId="9" priority="3" operator="lessThan">
      <formula>0</formula>
    </cfRule>
    <cfRule type="cellIs" dxfId="8" priority="4" operator="greaterThan">
      <formula>0</formula>
    </cfRule>
  </conditionalFormatting>
  <conditionalFormatting sqref="E51">
    <cfRule type="cellIs" dxfId="7" priority="1" operator="lessThan">
      <formula>0</formula>
    </cfRule>
    <cfRule type="cellIs" dxfId="6" priority="2" operator="greaterThan">
      <formula>0</formula>
    </cfRule>
  </conditionalFormatting>
  <pageMargins left="0.70866141732283472" right="0.70866141732283472" top="0.98425196850393704" bottom="0.74803149606299213" header="0.31496062992125984" footer="0.31496062992125984"/>
  <pageSetup paperSize="9" scale="69" fitToHeight="2" orientation="portrait" r:id="rId1"/>
  <headerFooter>
    <oddHeader>&amp;L&amp;14&amp;K04+000
Scenario analyse Enbrel-Benepali switch
&amp;R&amp;G</oddHeader>
    <oddFooter>&amp;C&amp;F / &amp;A</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topLeftCell="A31" zoomScale="85" zoomScaleNormal="85" workbookViewId="0">
      <selection activeCell="B21" sqref="B21"/>
    </sheetView>
  </sheetViews>
  <sheetFormatPr defaultColWidth="9.109375" defaultRowHeight="13.2" x14ac:dyDescent="0.25"/>
  <cols>
    <col min="1" max="1" width="100.77734375" style="54" bestFit="1" customWidth="1"/>
    <col min="2" max="2" width="14.44140625" style="52" bestFit="1" customWidth="1"/>
    <col min="3" max="3" width="17.33203125" style="53" customWidth="1"/>
    <col min="4" max="4" width="14" style="54" customWidth="1"/>
    <col min="5" max="5" width="16.6640625" style="54" customWidth="1"/>
    <col min="6" max="6" width="59.5546875" style="20" customWidth="1"/>
    <col min="7" max="7" width="13.44140625" style="54" bestFit="1" customWidth="1"/>
    <col min="8" max="8" width="17.33203125" style="54" customWidth="1"/>
    <col min="9" max="9" width="14" style="54" customWidth="1"/>
    <col min="10" max="10" width="4.6640625" style="54" customWidth="1"/>
    <col min="11" max="11" width="5.6640625" style="54" customWidth="1"/>
    <col min="12" max="12" width="1.33203125" style="54" customWidth="1"/>
    <col min="13" max="13" width="26" style="54" bestFit="1" customWidth="1"/>
    <col min="14" max="16384" width="9.109375" style="54"/>
  </cols>
  <sheetData>
    <row r="1" spans="1:7" x14ac:dyDescent="0.25">
      <c r="A1" s="16" t="s">
        <v>31</v>
      </c>
    </row>
    <row r="2" spans="1:7" x14ac:dyDescent="0.25">
      <c r="A2" s="54" t="s">
        <v>17</v>
      </c>
      <c r="B2" s="54"/>
      <c r="C2" s="54"/>
    </row>
    <row r="4" spans="1:7" ht="19.5" customHeight="1" thickBot="1" x14ac:dyDescent="0.3">
      <c r="A4" s="16" t="s">
        <v>3</v>
      </c>
      <c r="B4" s="5"/>
    </row>
    <row r="5" spans="1:7" ht="19.5" customHeight="1" thickTop="1" x14ac:dyDescent="0.25">
      <c r="A5" s="131" t="s">
        <v>73</v>
      </c>
      <c r="B5" s="132"/>
    </row>
    <row r="6" spans="1:7" ht="22.2" customHeight="1" x14ac:dyDescent="0.25">
      <c r="A6" s="105" t="s">
        <v>71</v>
      </c>
      <c r="B6" s="106">
        <v>130000</v>
      </c>
      <c r="C6" s="18"/>
      <c r="D6" s="19"/>
      <c r="E6" s="19"/>
      <c r="F6" s="19"/>
    </row>
    <row r="7" spans="1:7" ht="22.2" customHeight="1" x14ac:dyDescent="0.25">
      <c r="A7" s="107" t="s">
        <v>74</v>
      </c>
      <c r="B7" s="106">
        <v>2600</v>
      </c>
      <c r="C7" s="18"/>
      <c r="D7" s="19"/>
      <c r="E7" s="19"/>
      <c r="F7" s="19"/>
    </row>
    <row r="8" spans="1:7" ht="22.2" customHeight="1" x14ac:dyDescent="0.25">
      <c r="A8" s="107" t="s">
        <v>75</v>
      </c>
      <c r="B8" s="106">
        <v>217</v>
      </c>
      <c r="C8" s="18"/>
      <c r="D8" s="19"/>
      <c r="E8" s="19"/>
      <c r="F8" s="19"/>
    </row>
    <row r="9" spans="1:7" ht="22.2" customHeight="1" x14ac:dyDescent="0.25">
      <c r="A9" s="107" t="s">
        <v>76</v>
      </c>
      <c r="B9" s="108">
        <v>50</v>
      </c>
      <c r="C9" s="18"/>
      <c r="D9" s="19"/>
      <c r="E9" s="19"/>
      <c r="F9" s="19"/>
    </row>
    <row r="10" spans="1:7" ht="22.2" customHeight="1" x14ac:dyDescent="0.25">
      <c r="A10" s="109"/>
      <c r="B10" s="110"/>
      <c r="C10" s="18"/>
      <c r="D10" s="19"/>
      <c r="E10" s="19"/>
      <c r="F10" s="19"/>
      <c r="G10" s="55"/>
    </row>
    <row r="11" spans="1:7" ht="22.2" customHeight="1" x14ac:dyDescent="0.25">
      <c r="A11" s="107" t="s">
        <v>77</v>
      </c>
      <c r="B11" s="111">
        <f>Voorblad!B11</f>
        <v>4.13</v>
      </c>
      <c r="C11" s="133"/>
      <c r="D11" s="134"/>
      <c r="E11" s="19"/>
    </row>
    <row r="12" spans="1:7" ht="22.2" customHeight="1" x14ac:dyDescent="0.25">
      <c r="A12" s="105" t="s">
        <v>53</v>
      </c>
      <c r="B12" s="139">
        <v>0.15</v>
      </c>
      <c r="C12" s="54" t="s">
        <v>45</v>
      </c>
      <c r="D12" s="135"/>
      <c r="E12" s="19"/>
    </row>
    <row r="13" spans="1:7" ht="22.2" customHeight="1" x14ac:dyDescent="0.25">
      <c r="A13" s="107" t="s">
        <v>54</v>
      </c>
      <c r="B13" s="139">
        <v>0.2</v>
      </c>
      <c r="C13" s="54" t="s">
        <v>45</v>
      </c>
      <c r="D13" s="135"/>
      <c r="E13" s="19"/>
    </row>
    <row r="14" spans="1:7" ht="22.2" customHeight="1" x14ac:dyDescent="0.25">
      <c r="A14" s="113" t="s">
        <v>55</v>
      </c>
      <c r="B14" s="139">
        <v>0.02</v>
      </c>
      <c r="C14" s="54" t="s">
        <v>45</v>
      </c>
      <c r="D14" s="135"/>
      <c r="E14" s="19"/>
    </row>
    <row r="15" spans="1:7" ht="22.2" customHeight="1" x14ac:dyDescent="0.25">
      <c r="A15" s="115" t="s">
        <v>56</v>
      </c>
      <c r="B15" s="139">
        <v>0.35</v>
      </c>
      <c r="C15" s="54" t="s">
        <v>45</v>
      </c>
      <c r="D15" s="135"/>
      <c r="E15" s="19"/>
    </row>
    <row r="16" spans="1:7" ht="22.2" customHeight="1" x14ac:dyDescent="0.25">
      <c r="A16" s="109"/>
      <c r="B16" s="116"/>
      <c r="C16" s="136"/>
      <c r="D16" s="137"/>
      <c r="E16" s="19"/>
    </row>
    <row r="17" spans="1:9" ht="22.2" customHeight="1" x14ac:dyDescent="0.25">
      <c r="A17" s="117" t="s">
        <v>5</v>
      </c>
      <c r="B17" s="118"/>
      <c r="C17" s="18"/>
      <c r="D17" s="19"/>
      <c r="E17" s="19"/>
    </row>
    <row r="18" spans="1:9" ht="22.2" customHeight="1" x14ac:dyDescent="0.25">
      <c r="A18" s="107" t="s">
        <v>79</v>
      </c>
      <c r="B18" s="138">
        <v>0.8</v>
      </c>
      <c r="C18" s="54" t="s">
        <v>45</v>
      </c>
      <c r="D18" s="19"/>
      <c r="E18" s="19"/>
    </row>
    <row r="19" spans="1:9" ht="22.2" customHeight="1" x14ac:dyDescent="0.25">
      <c r="A19" s="107" t="s">
        <v>88</v>
      </c>
      <c r="B19" s="120">
        <f>100%-B18</f>
        <v>0.19999999999999996</v>
      </c>
      <c r="C19" s="18"/>
      <c r="D19" s="19"/>
      <c r="E19" s="19"/>
    </row>
    <row r="20" spans="1:9" ht="22.2" customHeight="1" x14ac:dyDescent="0.25">
      <c r="A20" s="109"/>
      <c r="B20" s="121"/>
      <c r="C20" s="18"/>
      <c r="D20" s="19"/>
      <c r="E20" s="19"/>
    </row>
    <row r="21" spans="1:9" ht="22.2" customHeight="1" x14ac:dyDescent="0.25">
      <c r="A21" s="107" t="s">
        <v>32</v>
      </c>
      <c r="B21" s="142">
        <v>43862</v>
      </c>
      <c r="C21" s="18"/>
      <c r="D21" s="19"/>
      <c r="E21" s="19"/>
    </row>
    <row r="22" spans="1:9" ht="18" customHeight="1" x14ac:dyDescent="0.25">
      <c r="A22" s="107" t="s">
        <v>18</v>
      </c>
      <c r="B22" s="141">
        <v>43922</v>
      </c>
      <c r="C22" s="18"/>
      <c r="D22" s="19"/>
      <c r="E22" s="19"/>
    </row>
    <row r="23" spans="1:9" ht="15.6" hidden="1" customHeight="1" x14ac:dyDescent="0.25">
      <c r="A23" s="124" t="s">
        <v>34</v>
      </c>
      <c r="B23" s="125" t="str">
        <f>"1-1-"&amp; YEAR(B21)</f>
        <v>1-1-2020</v>
      </c>
      <c r="C23" s="18"/>
      <c r="D23" s="19"/>
      <c r="E23" s="19"/>
    </row>
    <row r="24" spans="1:9" ht="15" hidden="1" x14ac:dyDescent="0.35">
      <c r="A24" s="124" t="s">
        <v>33</v>
      </c>
      <c r="B24" s="125">
        <f>DATE(YEAR(B21)+1,12,31)</f>
        <v>44561</v>
      </c>
      <c r="C24" s="18"/>
      <c r="D24" s="19"/>
      <c r="E24" s="23"/>
    </row>
    <row r="25" spans="1:9" ht="14.4" hidden="1" x14ac:dyDescent="0.25">
      <c r="A25" s="126" t="s">
        <v>35</v>
      </c>
      <c r="B25" s="127">
        <f>ROUND((B21-B23)/365*12,0)</f>
        <v>1</v>
      </c>
      <c r="C25" s="18"/>
      <c r="D25" s="19"/>
      <c r="E25" s="19"/>
    </row>
    <row r="26" spans="1:9" ht="14.4" hidden="1" x14ac:dyDescent="0.25">
      <c r="A26" s="126" t="s">
        <v>36</v>
      </c>
      <c r="B26" s="127">
        <f>ROUND(((B22-B21)/365*12),0)</f>
        <v>2</v>
      </c>
      <c r="C26" s="18"/>
      <c r="D26" s="19"/>
      <c r="E26" s="19"/>
    </row>
    <row r="27" spans="1:9" ht="14.4" hidden="1" x14ac:dyDescent="0.25">
      <c r="A27" s="126" t="s">
        <v>37</v>
      </c>
      <c r="B27" s="127">
        <f>ROUND(((B24-B22)/365*12),0)</f>
        <v>21</v>
      </c>
      <c r="C27" s="18"/>
      <c r="D27" s="19"/>
      <c r="E27" s="19"/>
    </row>
    <row r="28" spans="1:9" ht="22.2" customHeight="1" x14ac:dyDescent="0.25">
      <c r="A28" s="109"/>
      <c r="B28" s="128"/>
      <c r="C28" s="19"/>
      <c r="D28" s="19"/>
      <c r="E28" s="19"/>
    </row>
    <row r="29" spans="1:9" ht="22.2" customHeight="1" thickBot="1" x14ac:dyDescent="0.3">
      <c r="A29" s="114" t="s">
        <v>4</v>
      </c>
      <c r="B29" s="140">
        <v>50</v>
      </c>
      <c r="C29" s="18" t="s">
        <v>19</v>
      </c>
      <c r="D29" s="19"/>
      <c r="E29" s="19"/>
    </row>
    <row r="30" spans="1:9" ht="22.2" customHeight="1" thickTop="1" x14ac:dyDescent="0.25">
      <c r="A30" s="24"/>
      <c r="B30" s="19"/>
      <c r="C30" s="19"/>
      <c r="D30" s="19"/>
      <c r="E30" s="19"/>
    </row>
    <row r="31" spans="1:9" s="57" customFormat="1" ht="17.399999999999999" x14ac:dyDescent="0.25">
      <c r="A31" s="25"/>
      <c r="B31" s="25"/>
      <c r="C31" s="25"/>
      <c r="D31" s="25"/>
      <c r="E31" s="25"/>
      <c r="F31" s="25"/>
      <c r="G31" s="56"/>
      <c r="H31" s="56"/>
      <c r="I31" s="56"/>
    </row>
    <row r="32" spans="1:9" s="57" customFormat="1" ht="13.35" customHeight="1" x14ac:dyDescent="0.25">
      <c r="A32" s="27" t="s">
        <v>80</v>
      </c>
      <c r="B32" s="58" t="s">
        <v>0</v>
      </c>
      <c r="C32" s="58"/>
      <c r="D32" s="59" t="s">
        <v>40</v>
      </c>
      <c r="E32" s="25"/>
      <c r="F32" s="25"/>
      <c r="G32" s="56"/>
      <c r="H32" s="56"/>
      <c r="I32" s="56"/>
    </row>
    <row r="33" spans="1:9" s="57" customFormat="1" ht="13.35" customHeight="1" x14ac:dyDescent="0.25">
      <c r="A33" s="28" t="s">
        <v>81</v>
      </c>
      <c r="B33" s="76">
        <f>B6*B11</f>
        <v>536900</v>
      </c>
      <c r="C33" s="60"/>
      <c r="D33" s="84">
        <f>B6*(1-B12)*B11</f>
        <v>456365</v>
      </c>
      <c r="E33" s="29">
        <f>D33</f>
        <v>456365</v>
      </c>
      <c r="F33" s="30" t="s">
        <v>42</v>
      </c>
      <c r="G33" s="56"/>
      <c r="H33" s="56"/>
      <c r="I33" s="56"/>
    </row>
    <row r="34" spans="1:9" ht="13.35" customHeight="1" x14ac:dyDescent="0.25">
      <c r="A34" s="19"/>
      <c r="B34" s="54"/>
      <c r="C34" s="54"/>
      <c r="E34" s="19"/>
    </row>
    <row r="35" spans="1:9" ht="12.75" customHeight="1" x14ac:dyDescent="0.25">
      <c r="A35" s="31" t="str">
        <f>CONCATENATE("Kosten switchjaren ",YEAR(B23),"-",YEAR(B24))</f>
        <v>Kosten switchjaren 2020-2021</v>
      </c>
      <c r="B35" s="61" t="s">
        <v>0</v>
      </c>
      <c r="C35" s="61" t="s">
        <v>20</v>
      </c>
      <c r="D35" s="62" t="s">
        <v>21</v>
      </c>
      <c r="E35" s="19"/>
    </row>
    <row r="36" spans="1:9" ht="15" customHeight="1" x14ac:dyDescent="0.25">
      <c r="A36" s="28" t="s">
        <v>81</v>
      </c>
      <c r="B36" s="77">
        <f>B6*B11*2</f>
        <v>1073800</v>
      </c>
      <c r="C36" s="85">
        <f>(B9*B8*(1-B12)*B11*B25)+(B9*B8*(1-B13)*B11*(B26+B27))</f>
        <v>862602.12500000012</v>
      </c>
      <c r="D36" s="86"/>
      <c r="E36" s="19"/>
    </row>
    <row r="37" spans="1:9" ht="15" customHeight="1" x14ac:dyDescent="0.25">
      <c r="A37" s="32" t="s">
        <v>6</v>
      </c>
      <c r="B37" s="78"/>
      <c r="C37" s="85"/>
      <c r="D37" s="48">
        <f>B9*B8*(1-B12)*B11*B25</f>
        <v>38088.924999999996</v>
      </c>
      <c r="E37" s="19"/>
    </row>
    <row r="38" spans="1:9" ht="15" customHeight="1" x14ac:dyDescent="0.25">
      <c r="A38" s="32" t="s">
        <v>38</v>
      </c>
      <c r="B38" s="78"/>
      <c r="C38" s="85"/>
      <c r="D38" s="48">
        <f>(B9*B19*B8*(1-B14)*B11*B26)</f>
        <v>17565.715999999997</v>
      </c>
      <c r="E38" s="19"/>
    </row>
    <row r="39" spans="1:9" x14ac:dyDescent="0.25">
      <c r="A39" s="32" t="s">
        <v>7</v>
      </c>
      <c r="B39" s="78"/>
      <c r="C39" s="85"/>
      <c r="D39" s="48">
        <f>(0.5*B9*B18*B8*(1-B14)*B11*B26)</f>
        <v>35131.432000000001</v>
      </c>
      <c r="E39" s="19"/>
    </row>
    <row r="40" spans="1:9" x14ac:dyDescent="0.25">
      <c r="A40" s="33" t="s">
        <v>39</v>
      </c>
      <c r="B40" s="79"/>
      <c r="C40" s="87"/>
      <c r="D40" s="49">
        <f>+B9*(B19)*B8*(1-B14)*B11*B27</f>
        <v>184440.01799999995</v>
      </c>
      <c r="E40" s="19"/>
    </row>
    <row r="41" spans="1:9" x14ac:dyDescent="0.25">
      <c r="A41" s="34" t="s">
        <v>82</v>
      </c>
      <c r="B41" s="80"/>
      <c r="C41" s="88"/>
      <c r="D41" s="86"/>
      <c r="E41" s="19"/>
    </row>
    <row r="42" spans="1:9" x14ac:dyDescent="0.25">
      <c r="A42" s="35" t="s">
        <v>7</v>
      </c>
      <c r="B42" s="81"/>
      <c r="C42" s="89"/>
      <c r="D42" s="50">
        <f>(0.5*B9*B18*B8*(1-B15)*B11*B26)</f>
        <v>23301.46</v>
      </c>
      <c r="E42" s="19"/>
    </row>
    <row r="43" spans="1:9" x14ac:dyDescent="0.25">
      <c r="A43" s="36" t="s">
        <v>8</v>
      </c>
      <c r="B43" s="63"/>
      <c r="C43" s="64"/>
      <c r="D43" s="51">
        <f>B9*B18*B8*(1-B15)*B11*B27</f>
        <v>489330.66</v>
      </c>
      <c r="E43" s="19"/>
    </row>
    <row r="44" spans="1:9" x14ac:dyDescent="0.25">
      <c r="A44" s="37" t="s">
        <v>1</v>
      </c>
      <c r="B44" s="65"/>
      <c r="C44" s="66"/>
      <c r="D44" s="90">
        <f>B29*B9*B18</f>
        <v>2000</v>
      </c>
      <c r="E44" s="19"/>
    </row>
    <row r="45" spans="1:9" x14ac:dyDescent="0.25">
      <c r="A45" s="38" t="s">
        <v>9</v>
      </c>
      <c r="B45" s="67">
        <f>SUM(B36:B44)</f>
        <v>1073800</v>
      </c>
      <c r="C45" s="68">
        <f>SUM(C36:C44)</f>
        <v>862602.12500000012</v>
      </c>
      <c r="D45" s="69">
        <f>SUM(D36:D44)</f>
        <v>789858.21099999989</v>
      </c>
      <c r="E45" s="29">
        <f>D45/2</f>
        <v>394929.10549999995</v>
      </c>
      <c r="F45" s="30" t="s">
        <v>41</v>
      </c>
    </row>
    <row r="46" spans="1:9" x14ac:dyDescent="0.25">
      <c r="A46" s="39" t="s">
        <v>10</v>
      </c>
      <c r="B46" s="70"/>
      <c r="C46" s="71"/>
      <c r="D46" s="40">
        <f>C45-D45</f>
        <v>72743.914000000223</v>
      </c>
      <c r="E46" s="29">
        <f>E33-E45</f>
        <v>61435.894500000053</v>
      </c>
      <c r="F46" s="30" t="s">
        <v>43</v>
      </c>
    </row>
    <row r="47" spans="1:9" ht="15.75" customHeight="1" x14ac:dyDescent="0.25">
      <c r="A47" s="41"/>
      <c r="B47" s="72"/>
      <c r="C47" s="73"/>
      <c r="D47" s="72"/>
      <c r="E47" s="19"/>
    </row>
    <row r="48" spans="1:9" ht="13.2" customHeight="1" x14ac:dyDescent="0.25">
      <c r="A48" s="43" t="s">
        <v>44</v>
      </c>
      <c r="B48" s="74" t="s">
        <v>0</v>
      </c>
      <c r="C48" s="74" t="s">
        <v>20</v>
      </c>
      <c r="D48" s="75" t="s">
        <v>21</v>
      </c>
      <c r="E48" s="19"/>
    </row>
    <row r="49" spans="1:6" x14ac:dyDescent="0.25">
      <c r="A49" s="28" t="s">
        <v>81</v>
      </c>
      <c r="B49" s="82">
        <f>B9*B8*12*B11</f>
        <v>537726</v>
      </c>
      <c r="C49" s="91">
        <f>B9*B8*(1-B13)*B11*12</f>
        <v>430180.80000000005</v>
      </c>
      <c r="D49" s="92">
        <f>B9*B19*B8*(1-B14)*B11*12</f>
        <v>105394.29599999997</v>
      </c>
      <c r="E49" s="19"/>
    </row>
    <row r="50" spans="1:6" x14ac:dyDescent="0.25">
      <c r="A50" s="44" t="s">
        <v>82</v>
      </c>
      <c r="B50" s="83"/>
      <c r="C50" s="93"/>
      <c r="D50" s="94">
        <f>B9*B18*B8*(1-B15)*B11*12</f>
        <v>279617.52</v>
      </c>
      <c r="E50" s="29">
        <f>D50+D49</f>
        <v>385011.81599999999</v>
      </c>
      <c r="F50" s="30" t="s">
        <v>42</v>
      </c>
    </row>
    <row r="51" spans="1:6" x14ac:dyDescent="0.25">
      <c r="A51" s="41"/>
      <c r="B51" s="41"/>
      <c r="C51" s="42"/>
      <c r="D51" s="19"/>
      <c r="E51" s="29">
        <f>E33-E50</f>
        <v>71353.184000000008</v>
      </c>
      <c r="F51" s="30" t="s">
        <v>43</v>
      </c>
    </row>
    <row r="52" spans="1:6" ht="15.75" customHeight="1" x14ac:dyDescent="0.25">
      <c r="B52" s="54"/>
      <c r="C52" s="54"/>
      <c r="F52" s="30"/>
    </row>
    <row r="53" spans="1:6" ht="12.75" customHeight="1" x14ac:dyDescent="0.25">
      <c r="B53" s="54"/>
      <c r="C53" s="54"/>
    </row>
    <row r="54" spans="1:6" x14ac:dyDescent="0.25">
      <c r="B54" s="54"/>
      <c r="C54" s="54"/>
    </row>
    <row r="55" spans="1:6" x14ac:dyDescent="0.25">
      <c r="B55" s="54"/>
      <c r="C55" s="54"/>
    </row>
    <row r="56" spans="1:6" x14ac:dyDescent="0.25">
      <c r="B56" s="54"/>
      <c r="C56" s="54"/>
    </row>
    <row r="57" spans="1:6" x14ac:dyDescent="0.25">
      <c r="B57" s="54"/>
      <c r="C57" s="54"/>
    </row>
    <row r="58" spans="1:6" x14ac:dyDescent="0.25">
      <c r="B58" s="54"/>
      <c r="C58" s="54"/>
    </row>
    <row r="59" spans="1:6" x14ac:dyDescent="0.25">
      <c r="B59" s="54"/>
      <c r="C59" s="54"/>
    </row>
    <row r="60" spans="1:6" x14ac:dyDescent="0.25">
      <c r="B60" s="54"/>
      <c r="C60" s="54"/>
    </row>
    <row r="61" spans="1:6" x14ac:dyDescent="0.25">
      <c r="B61" s="54"/>
      <c r="C61" s="54"/>
    </row>
    <row r="62" spans="1:6" x14ac:dyDescent="0.25">
      <c r="B62" s="54"/>
      <c r="C62" s="54"/>
    </row>
    <row r="63" spans="1:6" x14ac:dyDescent="0.25">
      <c r="B63" s="54"/>
    </row>
    <row r="64" spans="1:6"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sheetData>
  <sheetProtection sheet="1" objects="1" scenarios="1" selectLockedCells="1"/>
  <conditionalFormatting sqref="D46">
    <cfRule type="cellIs" dxfId="5" priority="5" operator="greaterThan">
      <formula>0</formula>
    </cfRule>
    <cfRule type="cellIs" dxfId="4" priority="6" operator="lessThan">
      <formula>0</formula>
    </cfRule>
  </conditionalFormatting>
  <conditionalFormatting sqref="E46">
    <cfRule type="cellIs" dxfId="3" priority="3" operator="lessThan">
      <formula>0</formula>
    </cfRule>
    <cfRule type="cellIs" dxfId="2" priority="4" operator="greaterThan">
      <formula>0</formula>
    </cfRule>
  </conditionalFormatting>
  <conditionalFormatting sqref="E51">
    <cfRule type="cellIs" dxfId="1" priority="1" operator="lessThan">
      <formula>0</formula>
    </cfRule>
    <cfRule type="cellIs" dxfId="0" priority="2" operator="greaterThan">
      <formula>0</formula>
    </cfRule>
  </conditionalFormatting>
  <pageMargins left="0.70866141732283472" right="0.70866141732283472" top="0.98425196850393704" bottom="0.74803149606299213" header="0.31496062992125984" footer="0.31496062992125984"/>
  <pageSetup paperSize="9" scale="69" fitToHeight="2" orientation="portrait" r:id="rId1"/>
  <headerFooter>
    <oddHeader>&amp;L&amp;14&amp;K04+000
Scenario analyse Enbrel-Benepali switch
&amp;R&amp;G</oddHeader>
    <oddFooter>&amp;C&amp;F / &amp;A</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Titelblad</vt:lpstr>
      <vt:lpstr>Gebruiksaanwijzing</vt:lpstr>
      <vt:lpstr>Voorblad</vt:lpstr>
      <vt:lpstr>Scenario blanco</vt:lpstr>
      <vt:lpstr>Fictief voorbeeld</vt:lpstr>
      <vt:lpstr>'Fictief voorbeeld'!Afdrukbereik</vt:lpstr>
      <vt:lpstr>'Scenario blanco'!Afdrukbereik</vt:lpstr>
    </vt:vector>
  </TitlesOfParts>
  <Company>Gelre Ziekenhuizen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Lerkp01</dc:creator>
  <cp:lastModifiedBy>drs. Rob Essink MPH, senior apotheker</cp:lastModifiedBy>
  <cp:lastPrinted>2018-10-30T13:05:38Z</cp:lastPrinted>
  <dcterms:created xsi:type="dcterms:W3CDTF">2016-04-20T06:38:11Z</dcterms:created>
  <dcterms:modified xsi:type="dcterms:W3CDTF">2019-04-29T08:58:40Z</dcterms:modified>
</cp:coreProperties>
</file>