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checkCompatibility="1"/>
  <mc:AlternateContent xmlns:mc="http://schemas.openxmlformats.org/markup-compatibility/2006">
    <mc:Choice Requires="x15">
      <x15ac:absPath xmlns:x15ac="http://schemas.microsoft.com/office/spreadsheetml/2010/11/ac" url="G:\Projecten\42173 VWS  biosimilars\42173-03\productontwikkeling\Rekenmodellen\"/>
    </mc:Choice>
  </mc:AlternateContent>
  <bookViews>
    <workbookView xWindow="0" yWindow="0" windowWidth="23040" windowHeight="9408" activeTab="1"/>
  </bookViews>
  <sheets>
    <sheet name="Titelblad" sheetId="16" r:id="rId1"/>
    <sheet name="Gebruiksaanwijzing" sheetId="17" r:id="rId2"/>
    <sheet name="Voorblad" sheetId="11" r:id="rId3"/>
    <sheet name="Scenario blanco" sheetId="15" r:id="rId4"/>
    <sheet name="Fictief voorbeeld" sheetId="18" r:id="rId5"/>
  </sheets>
  <definedNames>
    <definedName name="_xlnm.Print_Area" localSheetId="4">'Fictief voorbeeld'!$A$4:$F$29,'Fictief voorbeeld'!$A$33:$I$56</definedName>
    <definedName name="_xlnm.Print_Area" localSheetId="3">'Scenario blanco'!$A$4:$F$29,'Scenario blanco'!$A$33:$I$56</definedName>
    <definedName name="_xlnm.Print_Area" localSheetId="2">Voorblad!$A$5:$F$11,Voorblad!#REF!</definedName>
  </definedNames>
  <calcPr calcId="152511"/>
</workbook>
</file>

<file path=xl/calcChain.xml><?xml version="1.0" encoding="utf-8"?>
<calcChain xmlns="http://schemas.openxmlformats.org/spreadsheetml/2006/main">
  <c r="B23" i="18" l="1"/>
  <c r="B23" i="15"/>
  <c r="B9" i="11" l="1"/>
  <c r="B10" i="18" l="1"/>
  <c r="B7" i="11" l="1"/>
  <c r="B25" i="18" l="1"/>
  <c r="B26" i="18"/>
  <c r="B22" i="18"/>
  <c r="B24" i="18" s="1"/>
  <c r="B18" i="18"/>
  <c r="B26" i="15"/>
  <c r="B25" i="15"/>
  <c r="D39" i="18" l="1"/>
  <c r="D41" i="18"/>
  <c r="D38" i="18"/>
  <c r="D37" i="18"/>
  <c r="C48" i="18"/>
  <c r="D32" i="18"/>
  <c r="E32" i="18" s="1"/>
  <c r="B32" i="18"/>
  <c r="C35" i="18"/>
  <c r="B35" i="18"/>
  <c r="B44" i="18" s="1"/>
  <c r="A34" i="18"/>
  <c r="B22" i="15"/>
  <c r="B24" i="15" l="1"/>
  <c r="A34" i="15"/>
  <c r="B10" i="15" l="1"/>
  <c r="B8" i="11" l="1"/>
  <c r="B18" i="15"/>
  <c r="B5" i="15"/>
  <c r="B32" i="15" s="1"/>
  <c r="B35" i="15" l="1"/>
  <c r="D32" i="15"/>
  <c r="E32" i="15" s="1"/>
  <c r="B6" i="15"/>
  <c r="D49" i="18" l="1"/>
  <c r="D43" i="18"/>
  <c r="D36" i="18"/>
  <c r="D42" i="18"/>
  <c r="C44" i="18"/>
  <c r="B48" i="18"/>
  <c r="D48" i="18"/>
  <c r="B44" i="15"/>
  <c r="B8" i="15"/>
  <c r="C48" i="15" l="1"/>
  <c r="D44" i="18"/>
  <c r="E44" i="18" s="1"/>
  <c r="E45" i="18" s="1"/>
  <c r="E49" i="18"/>
  <c r="E50" i="18" s="1"/>
  <c r="D38" i="15"/>
  <c r="D36" i="15"/>
  <c r="D43" i="15"/>
  <c r="B7" i="15"/>
  <c r="C35" i="15" s="1"/>
  <c r="D37" i="15" l="1"/>
  <c r="D45" i="18"/>
  <c r="D49" i="15"/>
  <c r="D42" i="15"/>
  <c r="D48" i="15"/>
  <c r="D39" i="15"/>
  <c r="D41" i="15"/>
  <c r="C44" i="15"/>
  <c r="B48" i="15"/>
  <c r="E49" i="15" l="1"/>
  <c r="E50" i="15" s="1"/>
  <c r="D44" i="15"/>
  <c r="E44" i="15" l="1"/>
  <c r="E45" i="15" s="1"/>
  <c r="D45" i="15"/>
</calcChain>
</file>

<file path=xl/sharedStrings.xml><?xml version="1.0" encoding="utf-8"?>
<sst xmlns="http://schemas.openxmlformats.org/spreadsheetml/2006/main" count="160" uniqueCount="88">
  <si>
    <t>AIP</t>
  </si>
  <si>
    <t>Switchkosten</t>
  </si>
  <si>
    <t>Toelichting</t>
  </si>
  <si>
    <t>Overname van voorblad</t>
  </si>
  <si>
    <t xml:space="preserve">Kosten per patient voor infrastructuur voor een geslaagde switch </t>
  </si>
  <si>
    <t>In te vullen per scenario</t>
  </si>
  <si>
    <t>Kosten tot aan switch</t>
  </si>
  <si>
    <t>Kosten voor switchers gedurende switch</t>
  </si>
  <si>
    <t>Kosten voor switchers na switch</t>
  </si>
  <si>
    <t>Totaal</t>
  </si>
  <si>
    <t>Opbrengst switch</t>
  </si>
  <si>
    <t>Disclaimer</t>
  </si>
  <si>
    <t>Wij hebben de grootst mogelijke zorg besteed aan deze uitgave. 
Aan de inhoud hiervan kunnen echter geen rechten worden ontleend. 
Het Instituut voor Verantwoord Medicijngebruik is niet aansprakelijk voor 
directe of indirecte schade die het gevolg is van het gebruik van de 
informatie die door middel van deze uitgave is verkregen. 
Niets uit deze uitgave mag worden gebruikt zonder vooraf verkregen toestemming.</t>
  </si>
  <si>
    <t>Op het voorblad vult u gegevens in over het verbruik van een geneesmiddel in het afgelopen jaar en de huidige korting die u ontvangt.</t>
  </si>
  <si>
    <t xml:space="preserve">U hoeft alleen de oranje vlakken in te vullen, de andere vlakken worden vanzelf berekend. </t>
  </si>
  <si>
    <t>1. Het ziekenhuis blijft bij de oude leverancier van het product</t>
  </si>
  <si>
    <t>2. het ziekenhuis stapt over op een andere leverancier.</t>
  </si>
  <si>
    <t>Vul op dit blad opnieuw de oranje vlakken in. De andere vlakken worden berekend, of overgenomen van het voorblad.</t>
  </si>
  <si>
    <t>Einddatum switchperiode</t>
  </si>
  <si>
    <t>Denk hierbij aan het maken van voorlichtingsmateriaal en extra tijd voor voorlichting in de spreekkamer/apotheek, omgerekend naar kosten per patiënt</t>
  </si>
  <si>
    <t>geen switch</t>
  </si>
  <si>
    <t>wel switch</t>
  </si>
  <si>
    <t>Gebruiksaanwijzing</t>
  </si>
  <si>
    <t>Voorblad</t>
  </si>
  <si>
    <t>Scenario's</t>
  </si>
  <si>
    <t>Aannames</t>
  </si>
  <si>
    <t>Het model gaat uit van een statische patiëntenpopulatie, waarbij in- en uitstroom van gebruikers gelijk zijn.</t>
  </si>
  <si>
    <t>U bepaalt de switchperiode als volgt:</t>
  </si>
  <si>
    <t>Wanneer de switch meer geleidelijk verloopt, bijvoorbeeld per specialisme, geef dan de periode van switchen aan.</t>
  </si>
  <si>
    <t>In het rekenmodel is alleen rekening gehouden met de directe geneesmiddelkosten, en niet met factoren als spillage en handelingskosten.</t>
  </si>
  <si>
    <t>U kunt deze informatie vinden op inkoopfacturen van 2018</t>
  </si>
  <si>
    <t xml:space="preserve">Scenario </t>
  </si>
  <si>
    <t>Startdatum van switch</t>
  </si>
  <si>
    <t>Laatste dag switchjaar+1</t>
  </si>
  <si>
    <t>Eerste dag switchjaar</t>
  </si>
  <si>
    <t>Aantal maanden tot switch</t>
  </si>
  <si>
    <t>Aantal maanden gedurende switch</t>
  </si>
  <si>
    <t>Aantal maanden na switch</t>
  </si>
  <si>
    <t>Kosten voor NIET-switchers gedurende switch</t>
  </si>
  <si>
    <t>Kosten niet-switchers na switch</t>
  </si>
  <si>
    <t>met korting</t>
  </si>
  <si>
    <t>gemiddeld per jaar (over 2 jaar)</t>
  </si>
  <si>
    <t>per jaar</t>
  </si>
  <si>
    <t>besparing t.o.v. uitgangssituatie</t>
  </si>
  <si>
    <t>Kosten vóór switch (per jaar)</t>
  </si>
  <si>
    <t>Kosten na switchjaren (per jaar)</t>
  </si>
  <si>
    <t>Let op: dit is een fictief voorbeeld!</t>
  </si>
  <si>
    <t>Het model gaat uit van een omzetting in de vorm van een campagne. Tijdens deze campagne starten alle patiënten die instemmen met switchen met een biosimilar.</t>
  </si>
  <si>
    <t xml:space="preserve">Na de switchperiode is er geen actieve switch meer. De daling van het aantal gebruikers van originator door natuurlijk verloop wordt niet meegerekend. </t>
  </si>
  <si>
    <t xml:space="preserve">Ter verduidelijking is een fictief voorbeeld toegevoegd. Alle getallen op dit blad zijn fictief. </t>
  </si>
  <si>
    <t xml:space="preserve">Dit rekenmodel is ontwikkeld als onderdeel van het programma " Implementatie Biosimilars op Maat in ziekenhuizen" (BOM), uitgevoerd door het Instituut Verantwoord Medicijngebruik en Initiatiefgroep Biosimilars Nederland en gefinancierd door het Ministerie van VWS. </t>
  </si>
  <si>
    <t>Dit rekenmodel is gebaseerd op het model van en doorontwikkeld met medewerking van Gelre Ziekenhuizen.</t>
  </si>
  <si>
    <t xml:space="preserve">Vervolgens gebruikt u het blad 'scenario blanco'. Een scenario vergelijkt steeds de geneesmiddelkosten in twee situaties: </t>
  </si>
  <si>
    <t>Het model is ontwikkeld voor het product infliximab. U kunt het model ook gebruiken voor andere omzettingen. Controleer dan wel goed alle aannames.</t>
  </si>
  <si>
    <t>Dit model is alleen geschikt voor situaties waarin er geen verschil is in toedienvorm of frequentie tussen biosimilar en originator of tussen de biosimilars onderling.</t>
  </si>
  <si>
    <t>Gemiddeld gebruik infliximab per patient/jaar (mg)</t>
  </si>
  <si>
    <t>Gemiddeld gebruik infliximab per patient/maand (mg)</t>
  </si>
  <si>
    <t>Aantal patienten dat behandeld wordt met infliximab op 1-1-2019</t>
  </si>
  <si>
    <t>Infliximab: prijs/mg</t>
  </si>
  <si>
    <t>Uitgaande van een dosering van 5mg/kg eens per 8 weken. Gemiddeld lichaamsgewicht 70kg</t>
  </si>
  <si>
    <t>Aantal mg infliximab op jaarbasis</t>
  </si>
  <si>
    <t>Controleert u ook de vooringevulde, blauwe vlakken of deze nog actueel zijn. Deze vlakken zijn ingevuld met de prijzen van 22 februari 2019.</t>
  </si>
  <si>
    <t>Ontvangen korting huidig voorkeursmiddel tot aan eventuele overstap (%)</t>
  </si>
  <si>
    <t>Geboden korting wanneer huidig voorkeursmiddel preferent is (%)</t>
  </si>
  <si>
    <t>Geboden korting wanneer huidig voorkeursmiddel niet preferent is (%)</t>
  </si>
  <si>
    <t>Percentage van de bestaande infliximabpatienten dat switcht</t>
  </si>
  <si>
    <t>Huidige voorkeursmiddel</t>
  </si>
  <si>
    <t>Nieuwe voorkeursmiddel</t>
  </si>
  <si>
    <t>Korting nieuw voorkeursmiddel (%)</t>
  </si>
  <si>
    <t>Nieuw voorkeursmiddel</t>
  </si>
  <si>
    <t>Huidig voorkeursmiddel</t>
  </si>
  <si>
    <t>Aantal milligram infliximab voor 2020</t>
  </si>
  <si>
    <t>Aantal patienten dat behandeld wordt met infliximab op 1-1-2020</t>
  </si>
  <si>
    <t>In dit rekenmodel kunt u verschillende scenario's doorrekenen, om u te helpen bij de keuze tussen het huidige voorkeursmiddel en een eventueel nieuw voorkeursmiddel.</t>
  </si>
  <si>
    <t>Wanneer alle patiënten in een korte periode switchen naar een ander voorkeursmiddel, vul dan de maand van de switchcampagne in bij startmaand en eindmaand van switch.</t>
  </si>
  <si>
    <t>Rekenmodel infliximab</t>
  </si>
  <si>
    <t xml:space="preserve">Het model werkt met het aantal gebruikte mg infliximab. Hierbij is uitgegaan dat een patient eens in de 8 weken 5mg/kg infliximab krijgt. Dit is de normale dosering voor de </t>
  </si>
  <si>
    <t>kortingspercentage dat de fabrikant voor deze producten biedt aangepast worden op het 'blad' scenario.</t>
  </si>
  <si>
    <t>Vul op dit blad opnieuw de oranje vlakken in. De andere vlakken worden berekend, of overgenomen van het 'voorblad'.</t>
  </si>
  <si>
    <t>Indien gewenst kunt u het aantal mg vervangen door het aantal gebruikte stuks. Pas dan wel de inkoopprijs aan op het 'voorblad'.</t>
  </si>
  <si>
    <t>Corrigeer kortingspercentage indien huidig voorkeursmiddel afwijkende AIP heeft</t>
  </si>
  <si>
    <t>Corrigeer kortingspercentage indien nieuw voorkeursmiddel afwijkende AIP heeft</t>
  </si>
  <si>
    <t xml:space="preserve">Op basis van de AIP van de meeste Infliximabproducten van 15 maart 2019, exclusief BTW. Let op: er zijn infliximabproducten met een afwijkende AIP. Als een van deze producten betrokken is in de vergelijking, moet het </t>
  </si>
  <si>
    <t xml:space="preserve">meeste aandoeningen. Alleen bij reumatoïde artritis wordt een lagere dosis gadviseerd. Afhankelijk van de populatie patienten in uw ziekenhuis kan het gemiddeld aantal mg/kg   </t>
  </si>
  <si>
    <t>hoger of lager zijn. Pas dan het gemiddeld gebruik infliximab per patient/jaar aan op het 'voorblad'</t>
  </si>
  <si>
    <t>Percentage patienten dat behandeld blijft met huidige voorkeursmiddel</t>
  </si>
  <si>
    <t>Percentage patienten dat behandeld blijft met huidig voorkeursmiddel</t>
  </si>
  <si>
    <t xml:space="preserve">Het is in dit model niet mogelijk te rekenen met een switchperiode van langer dan 1 jaar.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</si>
</sst>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5" formatCode="&quot;€&quot;\ #,##0;&quot;€&quot;\ \-#,##0"/>
    <numFmt numFmtId="44" formatCode="_ &quot;€&quot;\ * #,##0.00_ ;_ &quot;€&quot;\ * \-#,##0.00_ ;_ &quot;€&quot;\ * &quot;-&quot;??_ ;_ @_ "/>
    <numFmt numFmtId="164" formatCode="&quot;€&quot;\ #,##0"/>
    <numFmt numFmtId="165" formatCode="_ &quot;€&quot;\ * #,##0_ ;_ &quot;€&quot;\ * \-#,##0_ ;_ &quot;€&quot;\ * &quot;-&quot;??_ ;_ @_ "/>
  </numFmts>
  <fonts count="16" x14ac:knownFonts="1">
    <font>
      <sz val="10"/>
      <color theme="1"/>
      <name val="Arial"/>
      <family val="2"/>
    </font>
    <font>
      <sz val="10"/>
      <color theme="1"/>
      <name val="Arial"/>
      <family val="2"/>
    </font>
    <font>
      <sz val="11"/>
      <color theme="1"/>
      <name val="Calibri"/>
      <family val="2"/>
      <scheme val="minor"/>
    </font>
    <font>
      <sz val="10"/>
      <color rgb="FFFF0000"/>
      <name val="Arial"/>
      <family val="2"/>
    </font>
    <font>
      <sz val="10"/>
      <name val="Arial"/>
      <family val="2"/>
    </font>
    <font>
      <b/>
      <sz val="10"/>
      <color theme="1"/>
      <name val="Arial"/>
      <family val="2"/>
    </font>
    <font>
      <b/>
      <sz val="10"/>
      <name val="Arial"/>
      <family val="2"/>
    </font>
    <font>
      <b/>
      <sz val="14"/>
      <color theme="1"/>
      <name val="Arial"/>
      <family val="2"/>
    </font>
    <font>
      <b/>
      <sz val="10"/>
      <color rgb="FFFF0000"/>
      <name val="Arial"/>
      <family val="2"/>
    </font>
    <font>
      <sz val="10"/>
      <color theme="1"/>
      <name val="Arial Unicode MS"/>
      <family val="2"/>
    </font>
    <font>
      <b/>
      <sz val="10"/>
      <color theme="0"/>
      <name val="Arial"/>
      <family val="2"/>
    </font>
    <font>
      <b/>
      <sz val="14"/>
      <color theme="0"/>
      <name val="Arial"/>
      <family val="2"/>
    </font>
    <font>
      <sz val="8"/>
      <color rgb="FF006600"/>
      <name val="Arial"/>
      <family val="2"/>
    </font>
    <font>
      <sz val="8"/>
      <color rgb="FFFF0000"/>
      <name val="Arial"/>
      <family val="2"/>
    </font>
    <font>
      <b/>
      <sz val="10"/>
      <color rgb="FF006600"/>
      <name val="Arial"/>
      <family val="2"/>
    </font>
    <font>
      <sz val="10"/>
      <color rgb="FF006600"/>
      <name val="Arial"/>
      <family val="2"/>
    </font>
  </fonts>
  <fills count="16">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0000"/>
        <bgColor indexed="64"/>
      </patternFill>
    </fill>
    <fill>
      <patternFill patternType="solid">
        <fgColor theme="8" tint="0.79998168889431442"/>
        <bgColor indexed="64"/>
      </patternFill>
    </fill>
    <fill>
      <patternFill patternType="solid">
        <fgColor rgb="FFFF9933"/>
        <bgColor indexed="64"/>
      </patternFill>
    </fill>
    <fill>
      <patternFill patternType="solid">
        <fgColor rgb="FF9900CC"/>
        <bgColor indexed="64"/>
      </patternFill>
    </fill>
    <fill>
      <patternFill patternType="solid">
        <fgColor rgb="FFFFC775"/>
        <bgColor indexed="64"/>
      </patternFill>
    </fill>
    <fill>
      <patternFill patternType="solid">
        <fgColor rgb="FFE69FFF"/>
        <bgColor indexed="64"/>
      </patternFill>
    </fill>
    <fill>
      <patternFill patternType="solid">
        <fgColor rgb="FFFF9393"/>
        <bgColor indexed="64"/>
      </patternFill>
    </fill>
    <fill>
      <patternFill patternType="solid">
        <fgColor rgb="FFFFE4BD"/>
        <bgColor indexed="64"/>
      </patternFill>
    </fill>
    <fill>
      <patternFill patternType="solid">
        <fgColor rgb="FFF8E5FF"/>
        <bgColor indexed="64"/>
      </patternFill>
    </fill>
    <fill>
      <patternFill patternType="solid">
        <fgColor rgb="FFFFD5D5"/>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0" fontId="2" fillId="0" borderId="0"/>
    <xf numFmtId="9" fontId="2" fillId="0" borderId="0" applyFont="0" applyFill="0" applyBorder="0" applyAlignment="0" applyProtection="0"/>
    <xf numFmtId="44" fontId="1" fillId="0" borderId="0" applyFont="0" applyFill="0" applyBorder="0" applyAlignment="0" applyProtection="0"/>
  </cellStyleXfs>
  <cellXfs count="145">
    <xf numFmtId="0" fontId="0" fillId="0" borderId="0" xfId="0"/>
    <xf numFmtId="0" fontId="0" fillId="0" borderId="0" xfId="0" applyBorder="1"/>
    <xf numFmtId="0" fontId="3" fillId="0" borderId="0" xfId="0" applyFont="1"/>
    <xf numFmtId="0" fontId="0" fillId="0" borderId="9" xfId="0" applyBorder="1"/>
    <xf numFmtId="0" fontId="0" fillId="0" borderId="0" xfId="0" applyFill="1" applyBorder="1" applyAlignment="1" applyProtection="1">
      <alignment horizontal="center" vertical="center"/>
    </xf>
    <xf numFmtId="9" fontId="3" fillId="0" borderId="0" xfId="0" applyNumberFormat="1"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4" fillId="0" borderId="0" xfId="0" applyFont="1" applyFill="1" applyBorder="1" applyAlignment="1" applyProtection="1">
      <alignment horizontal="center" vertical="center"/>
    </xf>
    <xf numFmtId="0" fontId="5" fillId="0" borderId="0" xfId="0" applyFont="1"/>
    <xf numFmtId="0" fontId="5" fillId="0" borderId="0" xfId="0" applyFont="1" applyFill="1" applyBorder="1" applyAlignment="1" applyProtection="1">
      <alignment horizontal="center" vertical="center"/>
    </xf>
    <xf numFmtId="0" fontId="0" fillId="0" borderId="0" xfId="0" applyAlignment="1">
      <alignment wrapText="1"/>
    </xf>
    <xf numFmtId="0" fontId="0" fillId="4" borderId="11" xfId="0" applyFill="1" applyBorder="1" applyAlignment="1" applyProtection="1">
      <alignment horizontal="center" vertical="center"/>
    </xf>
    <xf numFmtId="3" fontId="0" fillId="5" borderId="11" xfId="0" applyNumberFormat="1" applyFill="1" applyBorder="1" applyAlignment="1" applyProtection="1">
      <alignment horizontal="center" vertical="center"/>
    </xf>
    <xf numFmtId="1" fontId="2" fillId="5" borderId="11" xfId="2" applyNumberFormat="1" applyFill="1" applyBorder="1" applyAlignment="1" applyProtection="1">
      <alignment horizontal="center" vertical="center"/>
    </xf>
    <xf numFmtId="44" fontId="0" fillId="3" borderId="11" xfId="4" applyFont="1" applyFill="1" applyBorder="1" applyAlignment="1" applyProtection="1">
      <alignment horizontal="center" vertical="center"/>
      <protection locked="0"/>
    </xf>
    <xf numFmtId="0" fontId="7" fillId="0" borderId="0" xfId="0" applyFont="1"/>
    <xf numFmtId="0" fontId="5" fillId="0" borderId="0" xfId="0" applyFont="1" applyBorder="1"/>
    <xf numFmtId="0" fontId="8" fillId="0" borderId="0" xfId="0" applyFont="1"/>
    <xf numFmtId="0" fontId="5" fillId="0" borderId="0" xfId="0" applyFont="1" applyAlignment="1">
      <alignment wrapText="1"/>
    </xf>
    <xf numFmtId="0" fontId="3" fillId="0" borderId="0" xfId="0" applyFont="1" applyAlignment="1">
      <alignment wrapText="1"/>
    </xf>
    <xf numFmtId="0" fontId="0" fillId="0" borderId="0" xfId="0" applyAlignment="1">
      <alignment vertical="center" wrapText="1"/>
    </xf>
    <xf numFmtId="14" fontId="2" fillId="4" borderId="11" xfId="1" applyNumberFormat="1" applyFont="1" applyFill="1" applyBorder="1" applyAlignment="1" applyProtection="1">
      <alignment horizontal="center" vertical="center"/>
    </xf>
    <xf numFmtId="2" fontId="2" fillId="7" borderId="11" xfId="1" applyNumberFormat="1" applyFont="1" applyFill="1" applyBorder="1" applyAlignment="1" applyProtection="1">
      <alignment horizontal="center" vertical="center"/>
    </xf>
    <xf numFmtId="0" fontId="5" fillId="0" borderId="0" xfId="0" applyFont="1" applyProtection="1"/>
    <xf numFmtId="0" fontId="0" fillId="0" borderId="0" xfId="0" applyBorder="1" applyProtection="1"/>
    <xf numFmtId="0" fontId="0" fillId="0" borderId="0" xfId="0" applyAlignment="1" applyProtection="1"/>
    <xf numFmtId="0" fontId="0" fillId="0" borderId="0" xfId="0" applyProtection="1"/>
    <xf numFmtId="0" fontId="3" fillId="0" borderId="0" xfId="0" applyFont="1" applyProtection="1"/>
    <xf numFmtId="0" fontId="0" fillId="0" borderId="9" xfId="0" applyBorder="1" applyProtection="1"/>
    <xf numFmtId="14" fontId="0" fillId="0" borderId="0" xfId="0" applyNumberFormat="1" applyProtection="1"/>
    <xf numFmtId="44" fontId="0" fillId="0" borderId="0" xfId="0" applyNumberFormat="1" applyProtection="1"/>
    <xf numFmtId="0" fontId="4" fillId="0" borderId="9" xfId="0" applyFont="1" applyBorder="1" applyProtection="1"/>
    <xf numFmtId="0" fontId="0" fillId="0" borderId="9" xfId="0" applyBorder="1" applyAlignment="1" applyProtection="1">
      <alignment wrapText="1"/>
    </xf>
    <xf numFmtId="0" fontId="0" fillId="4" borderId="9" xfId="0" applyFill="1" applyBorder="1" applyProtection="1"/>
    <xf numFmtId="0" fontId="9" fillId="0" borderId="0" xfId="0" applyFont="1" applyProtection="1"/>
    <xf numFmtId="0" fontId="0" fillId="7" borderId="9" xfId="0" applyFill="1" applyBorder="1" applyProtection="1"/>
    <xf numFmtId="0" fontId="0" fillId="0" borderId="0" xfId="0" applyBorder="1" applyAlignment="1" applyProtection="1">
      <alignment wrapText="1"/>
    </xf>
    <xf numFmtId="0" fontId="11" fillId="0" borderId="0" xfId="0" applyFont="1" applyFill="1" applyAlignment="1" applyProtection="1">
      <alignment horizontal="center" vertical="center"/>
    </xf>
    <xf numFmtId="0" fontId="0" fillId="0" borderId="0" xfId="0" applyFill="1" applyProtection="1"/>
    <xf numFmtId="0" fontId="10" fillId="6" borderId="0" xfId="0" applyFont="1" applyFill="1" applyAlignment="1" applyProtection="1">
      <alignment horizontal="left" vertical="top"/>
    </xf>
    <xf numFmtId="0" fontId="8" fillId="0" borderId="6" xfId="0" applyFont="1" applyFill="1" applyBorder="1" applyProtection="1"/>
    <xf numFmtId="164" fontId="0" fillId="0" borderId="0" xfId="0" applyNumberFormat="1" applyProtection="1"/>
    <xf numFmtId="0" fontId="4" fillId="0" borderId="0" xfId="0" applyFont="1" applyProtection="1"/>
    <xf numFmtId="0" fontId="6" fillId="8" borderId="9" xfId="0" applyFont="1" applyFill="1" applyBorder="1" applyAlignment="1" applyProtection="1">
      <alignment horizontal="left" vertical="top"/>
    </xf>
    <xf numFmtId="0" fontId="13" fillId="0" borderId="3" xfId="0" applyFont="1" applyFill="1" applyBorder="1" applyAlignment="1" applyProtection="1">
      <alignment horizontal="right"/>
    </xf>
    <xf numFmtId="0" fontId="13" fillId="0" borderId="4" xfId="0" applyFont="1" applyFill="1" applyBorder="1" applyAlignment="1" applyProtection="1">
      <alignment horizontal="right"/>
    </xf>
    <xf numFmtId="0" fontId="14" fillId="0" borderId="6" xfId="0" applyFont="1" applyFill="1" applyBorder="1" applyProtection="1"/>
    <xf numFmtId="0" fontId="12" fillId="0" borderId="3" xfId="0" applyFont="1" applyFill="1" applyBorder="1" applyAlignment="1" applyProtection="1">
      <alignment horizontal="right"/>
    </xf>
    <xf numFmtId="0" fontId="12" fillId="0" borderId="4" xfId="0" applyFont="1" applyFill="1" applyBorder="1" applyAlignment="1" applyProtection="1">
      <alignment horizontal="right"/>
    </xf>
    <xf numFmtId="0" fontId="0" fillId="0" borderId="9" xfId="0" applyFill="1" applyBorder="1" applyProtection="1"/>
    <xf numFmtId="0" fontId="0" fillId="0" borderId="6" xfId="0" applyFill="1" applyBorder="1" applyProtection="1"/>
    <xf numFmtId="0" fontId="0" fillId="0" borderId="4" xfId="0" applyFill="1" applyBorder="1" applyProtection="1"/>
    <xf numFmtId="5" fontId="4" fillId="13" borderId="5" xfId="0" applyNumberFormat="1" applyFont="1" applyFill="1" applyBorder="1" applyAlignment="1" applyProtection="1">
      <alignment horizontal="right" indent="1"/>
    </xf>
    <xf numFmtId="0" fontId="0" fillId="0" borderId="0" xfId="0" applyFill="1" applyBorder="1" applyProtection="1"/>
    <xf numFmtId="0" fontId="0" fillId="0" borderId="0" xfId="0" applyFill="1" applyBorder="1" applyAlignment="1" applyProtection="1"/>
    <xf numFmtId="0" fontId="10" fillId="9" borderId="9" xfId="0" applyFont="1" applyFill="1" applyBorder="1" applyAlignment="1" applyProtection="1">
      <alignment horizontal="left" vertical="top"/>
    </xf>
    <xf numFmtId="0" fontId="14" fillId="0" borderId="9" xfId="0" applyFont="1" applyFill="1" applyBorder="1" applyProtection="1"/>
    <xf numFmtId="3" fontId="4" fillId="3" borderId="11" xfId="0" applyNumberFormat="1" applyFont="1" applyFill="1" applyBorder="1" applyAlignment="1" applyProtection="1">
      <alignment horizontal="center" vertical="center"/>
      <protection locked="0"/>
    </xf>
    <xf numFmtId="44" fontId="0" fillId="3" borderId="11" xfId="4" applyFont="1" applyFill="1" applyBorder="1" applyAlignment="1" applyProtection="1">
      <alignment horizontal="center" vertical="center"/>
    </xf>
    <xf numFmtId="44" fontId="0" fillId="4" borderId="11" xfId="0" applyNumberFormat="1" applyFill="1" applyBorder="1" applyAlignment="1" applyProtection="1">
      <alignment horizontal="center" vertical="center"/>
    </xf>
    <xf numFmtId="2" fontId="1" fillId="4" borderId="11" xfId="2" applyNumberFormat="1" applyFont="1" applyFill="1" applyBorder="1" applyAlignment="1" applyProtection="1">
      <alignment horizontal="center" vertical="center"/>
    </xf>
    <xf numFmtId="1" fontId="1" fillId="5" borderId="11" xfId="2" applyNumberFormat="1" applyFont="1" applyFill="1" applyBorder="1" applyAlignment="1" applyProtection="1">
      <alignment horizontal="center" vertical="center"/>
    </xf>
    <xf numFmtId="9" fontId="1" fillId="3" borderId="11" xfId="0" applyNumberFormat="1" applyFont="1" applyFill="1" applyBorder="1" applyAlignment="1" applyProtection="1">
      <alignment horizontal="center" vertical="center"/>
      <protection locked="0"/>
    </xf>
    <xf numFmtId="0" fontId="1" fillId="0" borderId="0" xfId="0" applyFont="1" applyBorder="1" applyProtection="1"/>
    <xf numFmtId="44" fontId="1" fillId="5" borderId="11" xfId="4" applyFont="1" applyFill="1" applyBorder="1" applyAlignment="1" applyProtection="1">
      <alignment horizontal="center" vertical="center"/>
    </xf>
    <xf numFmtId="9" fontId="1" fillId="3" borderId="11" xfId="1" applyFont="1" applyFill="1" applyBorder="1" applyAlignment="1" applyProtection="1">
      <alignment horizontal="center" vertical="center"/>
      <protection locked="0"/>
    </xf>
    <xf numFmtId="9" fontId="1" fillId="5" borderId="11" xfId="1" applyFont="1" applyFill="1" applyBorder="1" applyAlignment="1" applyProtection="1">
      <alignment horizontal="center" vertical="center"/>
    </xf>
    <xf numFmtId="14" fontId="1" fillId="3" borderId="11" xfId="1" applyNumberFormat="1" applyFont="1" applyFill="1" applyBorder="1" applyAlignment="1" applyProtection="1">
      <alignment horizontal="center" vertical="center"/>
      <protection locked="0"/>
    </xf>
    <xf numFmtId="164" fontId="3" fillId="13" borderId="2" xfId="2" applyNumberFormat="1" applyFont="1" applyFill="1" applyBorder="1" applyAlignment="1" applyProtection="1">
      <alignment horizontal="right" indent="1"/>
    </xf>
    <xf numFmtId="164" fontId="3" fillId="13" borderId="5" xfId="2" applyNumberFormat="1" applyFont="1" applyFill="1" applyBorder="1" applyAlignment="1" applyProtection="1">
      <alignment horizontal="right" indent="1"/>
    </xf>
    <xf numFmtId="164" fontId="15" fillId="13" borderId="2" xfId="2" applyNumberFormat="1" applyFont="1" applyFill="1" applyBorder="1" applyAlignment="1" applyProtection="1">
      <alignment horizontal="right" indent="1"/>
    </xf>
    <xf numFmtId="164" fontId="15" fillId="13" borderId="5" xfId="2" applyNumberFormat="1" applyFont="1" applyFill="1" applyBorder="1" applyAlignment="1" applyProtection="1">
      <alignment horizontal="right" indent="1"/>
    </xf>
    <xf numFmtId="0" fontId="0" fillId="0" borderId="0" xfId="0" applyFont="1" applyBorder="1" applyProtection="1"/>
    <xf numFmtId="0" fontId="0" fillId="0" borderId="0" xfId="0" applyFont="1" applyAlignment="1" applyProtection="1"/>
    <xf numFmtId="0" fontId="0" fillId="0" borderId="0" xfId="0" applyFont="1" applyProtection="1"/>
    <xf numFmtId="0" fontId="0" fillId="0" borderId="9" xfId="0" applyFont="1" applyBorder="1" applyProtection="1"/>
    <xf numFmtId="14" fontId="0" fillId="0" borderId="0" xfId="0" applyNumberFormat="1" applyFont="1" applyProtection="1"/>
    <xf numFmtId="44" fontId="0" fillId="0" borderId="0" xfId="0" applyNumberFormat="1" applyFont="1" applyProtection="1"/>
    <xf numFmtId="0" fontId="0" fillId="0" borderId="9" xfId="0" applyFont="1" applyBorder="1" applyAlignment="1" applyProtection="1">
      <alignment wrapText="1"/>
    </xf>
    <xf numFmtId="9" fontId="0" fillId="3" borderId="11" xfId="0" applyNumberFormat="1" applyFont="1" applyFill="1" applyBorder="1" applyAlignment="1" applyProtection="1">
      <alignment horizontal="center" vertical="center"/>
    </xf>
    <xf numFmtId="0" fontId="0" fillId="4" borderId="9" xfId="0" applyFont="1" applyFill="1" applyBorder="1" applyProtection="1"/>
    <xf numFmtId="0" fontId="0" fillId="7" borderId="9" xfId="0" applyFont="1" applyFill="1" applyBorder="1" applyProtection="1"/>
    <xf numFmtId="0" fontId="0" fillId="0" borderId="0" xfId="0" applyFont="1" applyBorder="1" applyAlignment="1" applyProtection="1">
      <alignment wrapText="1"/>
    </xf>
    <xf numFmtId="0" fontId="10" fillId="0" borderId="0" xfId="0" applyFont="1" applyFill="1" applyAlignment="1" applyProtection="1">
      <alignment horizontal="center" vertical="center"/>
    </xf>
    <xf numFmtId="0" fontId="0" fillId="0" borderId="0" xfId="0" applyFont="1" applyFill="1" applyProtection="1"/>
    <xf numFmtId="0" fontId="0" fillId="12" borderId="10" xfId="0" applyFont="1" applyFill="1" applyBorder="1" applyAlignment="1" applyProtection="1">
      <alignment horizontal="center" vertical="center"/>
    </xf>
    <xf numFmtId="0" fontId="0" fillId="12" borderId="11" xfId="0" applyFont="1" applyFill="1" applyBorder="1" applyAlignment="1" applyProtection="1">
      <alignment horizontal="center" vertical="center"/>
    </xf>
    <xf numFmtId="0" fontId="10" fillId="15" borderId="0" xfId="0" applyFont="1" applyFill="1" applyAlignment="1" applyProtection="1">
      <alignment horizontal="center" vertical="center"/>
    </xf>
    <xf numFmtId="164" fontId="0" fillId="0" borderId="0" xfId="0" applyNumberFormat="1" applyFont="1" applyProtection="1"/>
    <xf numFmtId="0" fontId="0" fillId="10" borderId="10" xfId="0" applyFont="1" applyFill="1" applyBorder="1" applyAlignment="1" applyProtection="1">
      <alignment horizontal="center" vertical="center"/>
    </xf>
    <xf numFmtId="0" fontId="0" fillId="10" borderId="11" xfId="0" applyFont="1" applyFill="1" applyBorder="1" applyAlignment="1" applyProtection="1">
      <alignment horizontal="center" vertical="center"/>
    </xf>
    <xf numFmtId="164" fontId="0" fillId="13" borderId="1" xfId="0" applyNumberFormat="1" applyFont="1" applyFill="1" applyBorder="1" applyAlignment="1" applyProtection="1">
      <alignment horizontal="right" indent="1"/>
    </xf>
    <xf numFmtId="164" fontId="0" fillId="13" borderId="1" xfId="0" applyNumberFormat="1" applyFont="1" applyFill="1" applyBorder="1" applyAlignment="1" applyProtection="1">
      <alignment horizontal="right"/>
    </xf>
    <xf numFmtId="0" fontId="0" fillId="0" borderId="9" xfId="0" applyFont="1" applyFill="1" applyBorder="1" applyProtection="1"/>
    <xf numFmtId="164" fontId="0" fillId="13" borderId="10" xfId="0" applyNumberFormat="1" applyFont="1" applyFill="1" applyBorder="1" applyAlignment="1" applyProtection="1">
      <alignment horizontal="right" indent="1"/>
    </xf>
    <xf numFmtId="164" fontId="0" fillId="13" borderId="10" xfId="0" applyNumberFormat="1" applyFont="1" applyFill="1" applyBorder="1" applyAlignment="1" applyProtection="1">
      <alignment horizontal="right"/>
    </xf>
    <xf numFmtId="0" fontId="0" fillId="0" borderId="6" xfId="0" applyFont="1" applyFill="1" applyBorder="1" applyProtection="1"/>
    <xf numFmtId="164" fontId="0" fillId="13" borderId="7" xfId="0" applyNumberFormat="1" applyFont="1" applyFill="1" applyBorder="1" applyAlignment="1" applyProtection="1">
      <alignment horizontal="right" indent="1"/>
    </xf>
    <xf numFmtId="164" fontId="0" fillId="13" borderId="7" xfId="0" applyNumberFormat="1" applyFont="1" applyFill="1" applyBorder="1" applyAlignment="1" applyProtection="1">
      <alignment horizontal="right"/>
    </xf>
    <xf numFmtId="164" fontId="0" fillId="13" borderId="8" xfId="0" applyNumberFormat="1" applyFont="1" applyFill="1" applyBorder="1" applyAlignment="1" applyProtection="1">
      <alignment horizontal="right" indent="1"/>
    </xf>
    <xf numFmtId="0" fontId="0" fillId="0" borderId="4" xfId="0" applyFont="1" applyFill="1" applyBorder="1" applyProtection="1"/>
    <xf numFmtId="0" fontId="0" fillId="13" borderId="1" xfId="0" applyFont="1" applyFill="1" applyBorder="1" applyProtection="1"/>
    <xf numFmtId="0" fontId="0" fillId="13" borderId="1" xfId="0" applyFont="1" applyFill="1" applyBorder="1" applyAlignment="1" applyProtection="1"/>
    <xf numFmtId="0" fontId="0" fillId="0" borderId="0" xfId="0" applyFont="1" applyFill="1" applyBorder="1" applyProtection="1"/>
    <xf numFmtId="0" fontId="0" fillId="0" borderId="0" xfId="0" applyFont="1" applyFill="1" applyBorder="1" applyAlignment="1" applyProtection="1"/>
    <xf numFmtId="0" fontId="0" fillId="11" borderId="10" xfId="0" applyFont="1" applyFill="1" applyBorder="1" applyAlignment="1" applyProtection="1">
      <alignment horizontal="center" vertical="center"/>
    </xf>
    <xf numFmtId="0" fontId="0" fillId="11" borderId="11" xfId="0" applyFont="1" applyFill="1" applyBorder="1" applyAlignment="1" applyProtection="1">
      <alignment horizontal="center" vertical="center"/>
    </xf>
    <xf numFmtId="164" fontId="0" fillId="0" borderId="0" xfId="0" applyNumberFormat="1" applyFont="1" applyFill="1" applyBorder="1" applyProtection="1"/>
    <xf numFmtId="164" fontId="0" fillId="0" borderId="0" xfId="0" applyNumberFormat="1" applyFont="1" applyFill="1" applyBorder="1" applyAlignment="1" applyProtection="1"/>
    <xf numFmtId="1" fontId="0" fillId="5" borderId="11" xfId="2" applyNumberFormat="1" applyFont="1" applyFill="1" applyBorder="1" applyAlignment="1" applyProtection="1">
      <alignment horizontal="center" vertical="center"/>
    </xf>
    <xf numFmtId="44" fontId="0" fillId="5" borderId="11" xfId="4" applyFont="1" applyFill="1" applyBorder="1" applyAlignment="1" applyProtection="1">
      <alignment horizontal="center" vertical="center"/>
    </xf>
    <xf numFmtId="9" fontId="0" fillId="3" borderId="11" xfId="1" applyFont="1" applyFill="1" applyBorder="1" applyAlignment="1" applyProtection="1">
      <alignment horizontal="center" vertical="center"/>
    </xf>
    <xf numFmtId="9" fontId="0" fillId="5" borderId="11" xfId="1" applyFont="1" applyFill="1" applyBorder="1" applyAlignment="1" applyProtection="1">
      <alignment horizontal="center" vertical="center"/>
    </xf>
    <xf numFmtId="14" fontId="0" fillId="3" borderId="11" xfId="1" applyNumberFormat="1" applyFont="1" applyFill="1" applyBorder="1" applyAlignment="1" applyProtection="1">
      <alignment horizontal="center" vertical="center"/>
    </xf>
    <xf numFmtId="14" fontId="0" fillId="4" borderId="11" xfId="1" applyNumberFormat="1" applyFont="1" applyFill="1" applyBorder="1" applyAlignment="1" applyProtection="1">
      <alignment horizontal="center" vertical="center"/>
    </xf>
    <xf numFmtId="2" fontId="0" fillId="7" borderId="11" xfId="1" applyNumberFormat="1" applyFont="1" applyFill="1" applyBorder="1" applyAlignment="1" applyProtection="1">
      <alignment horizontal="center" vertical="center"/>
    </xf>
    <xf numFmtId="165" fontId="0" fillId="15" borderId="7" xfId="2" applyNumberFormat="1" applyFont="1" applyFill="1" applyBorder="1" applyAlignment="1" applyProtection="1">
      <alignment horizontal="right" indent="1"/>
    </xf>
    <xf numFmtId="165" fontId="0" fillId="13" borderId="7" xfId="2" applyNumberFormat="1" applyFont="1" applyFill="1" applyBorder="1" applyAlignment="1" applyProtection="1">
      <alignment horizontal="right" indent="1"/>
    </xf>
    <xf numFmtId="165" fontId="0" fillId="13" borderId="0" xfId="2" applyNumberFormat="1" applyFont="1" applyFill="1" applyBorder="1" applyAlignment="1" applyProtection="1">
      <alignment horizontal="right" indent="1"/>
    </xf>
    <xf numFmtId="165" fontId="0" fillId="13" borderId="1" xfId="2" applyNumberFormat="1" applyFont="1" applyFill="1" applyBorder="1" applyAlignment="1" applyProtection="1">
      <alignment horizontal="right" indent="1"/>
    </xf>
    <xf numFmtId="164" fontId="0" fillId="13" borderId="7" xfId="2" applyNumberFormat="1" applyFont="1" applyFill="1" applyBorder="1" applyAlignment="1" applyProtection="1">
      <alignment horizontal="right" indent="1"/>
    </xf>
    <xf numFmtId="164" fontId="0" fillId="13" borderId="0" xfId="2" applyNumberFormat="1" applyFont="1" applyFill="1" applyBorder="1" applyAlignment="1" applyProtection="1">
      <alignment horizontal="right" indent="1"/>
    </xf>
    <xf numFmtId="164" fontId="0" fillId="14" borderId="7" xfId="2" applyNumberFormat="1" applyFont="1" applyFill="1" applyBorder="1" applyAlignment="1" applyProtection="1">
      <alignment horizontal="right" indent="1"/>
    </xf>
    <xf numFmtId="164" fontId="0" fillId="14" borderId="10" xfId="2" applyNumberFormat="1" applyFont="1" applyFill="1" applyBorder="1" applyAlignment="1" applyProtection="1">
      <alignment horizontal="right" indent="1"/>
    </xf>
    <xf numFmtId="165" fontId="4" fillId="15" borderId="0" xfId="0" applyNumberFormat="1" applyFont="1" applyFill="1" applyAlignment="1" applyProtection="1">
      <alignment horizontal="center" vertical="center"/>
    </xf>
    <xf numFmtId="165" fontId="0" fillId="13" borderId="0" xfId="2" applyNumberFormat="1" applyFont="1" applyFill="1" applyBorder="1" applyAlignment="1" applyProtection="1">
      <alignment horizontal="right"/>
    </xf>
    <xf numFmtId="164" fontId="0" fillId="13" borderId="8" xfId="2" applyNumberFormat="1" applyFont="1" applyFill="1" applyBorder="1" applyAlignment="1" applyProtection="1">
      <alignment horizontal="right" indent="1"/>
    </xf>
    <xf numFmtId="165" fontId="0" fillId="13" borderId="1" xfId="2" applyNumberFormat="1" applyFont="1" applyFill="1" applyBorder="1" applyAlignment="1" applyProtection="1">
      <alignment horizontal="right"/>
    </xf>
    <xf numFmtId="164" fontId="0" fillId="13" borderId="7" xfId="2" applyNumberFormat="1" applyFont="1" applyFill="1" applyBorder="1" applyAlignment="1" applyProtection="1">
      <alignment horizontal="right"/>
    </xf>
    <xf numFmtId="164" fontId="0" fillId="13" borderId="0" xfId="2" applyNumberFormat="1" applyFont="1" applyFill="1" applyBorder="1" applyAlignment="1" applyProtection="1">
      <alignment horizontal="right"/>
    </xf>
    <xf numFmtId="164" fontId="0" fillId="13" borderId="11" xfId="2" applyNumberFormat="1" applyFont="1" applyFill="1" applyBorder="1" applyAlignment="1" applyProtection="1">
      <alignment horizontal="right" indent="1"/>
    </xf>
    <xf numFmtId="164" fontId="0" fillId="14" borderId="7" xfId="2" applyNumberFormat="1" applyFont="1" applyFill="1" applyBorder="1" applyAlignment="1" applyProtection="1">
      <alignment horizontal="right"/>
    </xf>
    <xf numFmtId="164" fontId="0" fillId="14" borderId="8" xfId="2" applyNumberFormat="1" applyFont="1" applyFill="1" applyBorder="1" applyAlignment="1" applyProtection="1">
      <alignment horizontal="right" indent="1"/>
    </xf>
    <xf numFmtId="164" fontId="0" fillId="14" borderId="10" xfId="2" applyNumberFormat="1" applyFont="1" applyFill="1" applyBorder="1" applyAlignment="1" applyProtection="1">
      <alignment horizontal="right"/>
    </xf>
    <xf numFmtId="164" fontId="15" fillId="14" borderId="11" xfId="2" applyNumberFormat="1" applyFont="1" applyFill="1" applyBorder="1" applyAlignment="1" applyProtection="1">
      <alignment horizontal="right" indent="1"/>
    </xf>
    <xf numFmtId="14" fontId="0" fillId="3" borderId="11" xfId="1" applyNumberFormat="1" applyFont="1" applyFill="1" applyBorder="1" applyAlignment="1" applyProtection="1">
      <alignment horizontal="center" vertical="center"/>
      <protection locked="0"/>
    </xf>
    <xf numFmtId="0" fontId="4" fillId="0" borderId="0" xfId="0" applyFont="1"/>
    <xf numFmtId="9" fontId="4" fillId="0" borderId="0" xfId="0" applyNumberFormat="1" applyFont="1" applyFill="1" applyBorder="1" applyAlignment="1" applyProtection="1">
      <alignment horizontal="center" vertical="center"/>
    </xf>
    <xf numFmtId="0" fontId="0" fillId="2" borderId="0" xfId="0" applyFill="1" applyAlignment="1" applyProtection="1"/>
    <xf numFmtId="0" fontId="5" fillId="0" borderId="0" xfId="0" applyFont="1" applyFill="1"/>
    <xf numFmtId="0" fontId="0" fillId="0" borderId="0" xfId="0" applyFill="1"/>
    <xf numFmtId="0" fontId="3" fillId="0" borderId="0" xfId="0" applyFont="1" applyFill="1"/>
    <xf numFmtId="0" fontId="0" fillId="0" borderId="0" xfId="0" applyFill="1" applyAlignment="1">
      <alignment vertical="center" wrapText="1"/>
    </xf>
    <xf numFmtId="0" fontId="4" fillId="0" borderId="0" xfId="0" applyFont="1" applyFill="1" applyAlignment="1">
      <alignment vertical="top" wrapText="1"/>
    </xf>
  </cellXfs>
  <cellStyles count="5">
    <cellStyle name="Procent" xfId="1" builtinId="5"/>
    <cellStyle name="Procent 2" xfId="3"/>
    <cellStyle name="Standaard" xfId="0" builtinId="0"/>
    <cellStyle name="Standaard 2" xfId="2"/>
    <cellStyle name="Valuta" xfId="4" builtinId="4"/>
  </cellStyles>
  <dxfs count="12">
    <dxf>
      <font>
        <color theme="0"/>
      </font>
      <fill>
        <patternFill>
          <bgColor rgb="FF008000"/>
        </patternFill>
      </fill>
    </dxf>
    <dxf>
      <font>
        <color theme="0"/>
      </font>
      <fill>
        <patternFill>
          <bgColor rgb="FFFF0000"/>
        </patternFill>
      </fill>
    </dxf>
    <dxf>
      <font>
        <color theme="0"/>
      </font>
      <fill>
        <patternFill>
          <bgColor rgb="FF008000"/>
        </patternFill>
      </fill>
    </dxf>
    <dxf>
      <font>
        <color theme="0"/>
      </font>
      <fill>
        <patternFill>
          <bgColor rgb="FFFF0000"/>
        </patternFill>
      </fill>
    </dxf>
    <dxf>
      <font>
        <color rgb="FF9C0006"/>
      </font>
      <fill>
        <patternFill>
          <bgColor rgb="FFFFC7CE"/>
        </patternFill>
      </fill>
    </dxf>
    <dxf>
      <font>
        <color rgb="FF006100"/>
      </font>
      <fill>
        <patternFill>
          <bgColor rgb="FFC6EFCE"/>
        </patternFill>
      </fill>
    </dxf>
    <dxf>
      <font>
        <color theme="0"/>
      </font>
      <fill>
        <patternFill>
          <bgColor rgb="FF008000"/>
        </patternFill>
      </fill>
    </dxf>
    <dxf>
      <font>
        <color theme="0"/>
      </font>
      <fill>
        <patternFill>
          <bgColor rgb="FFFF0000"/>
        </patternFill>
      </fill>
    </dxf>
    <dxf>
      <font>
        <color theme="0"/>
      </font>
      <fill>
        <patternFill>
          <bgColor rgb="FF008000"/>
        </patternFill>
      </fill>
    </dxf>
    <dxf>
      <font>
        <color theme="0"/>
      </font>
      <fill>
        <patternFill>
          <bgColor rgb="FFFF0000"/>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CCFFCC"/>
      <color rgb="FF008000"/>
      <color rgb="FF0000FF"/>
      <color rgb="FF006600"/>
      <color rgb="FFFFD5D5"/>
      <color rgb="FFFF9393"/>
      <color rgb="FFFFC775"/>
      <color rgb="FFF8E5FF"/>
      <color rgb="FFE69FFF"/>
      <color rgb="FFFFE4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4</xdr:col>
      <xdr:colOff>27214</xdr:colOff>
      <xdr:row>31</xdr:row>
      <xdr:rowOff>87086</xdr:rowOff>
    </xdr:from>
    <xdr:to>
      <xdr:col>4</xdr:col>
      <xdr:colOff>386443</xdr:colOff>
      <xdr:row>31</xdr:row>
      <xdr:rowOff>87086</xdr:rowOff>
    </xdr:to>
    <xdr:cxnSp macro="">
      <xdr:nvCxnSpPr>
        <xdr:cNvPr id="20" name="Straight Connector 19"/>
        <xdr:cNvCxnSpPr/>
      </xdr:nvCxnSpPr>
      <xdr:spPr>
        <a:xfrm>
          <a:off x="7053943" y="9334500"/>
          <a:ext cx="359229" cy="0"/>
        </a:xfrm>
        <a:prstGeom prst="line">
          <a:avLst/>
        </a:prstGeom>
        <a:ln w="15875">
          <a:solidFill>
            <a:srgbClr val="0000F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713014</xdr:colOff>
      <xdr:row>31</xdr:row>
      <xdr:rowOff>157843</xdr:rowOff>
    </xdr:from>
    <xdr:to>
      <xdr:col>4</xdr:col>
      <xdr:colOff>718457</xdr:colOff>
      <xdr:row>42</xdr:row>
      <xdr:rowOff>174171</xdr:rowOff>
    </xdr:to>
    <xdr:cxnSp macro="">
      <xdr:nvCxnSpPr>
        <xdr:cNvPr id="24" name="Straight Connector 23"/>
        <xdr:cNvCxnSpPr/>
      </xdr:nvCxnSpPr>
      <xdr:spPr>
        <a:xfrm>
          <a:off x="7739743" y="9405257"/>
          <a:ext cx="5443" cy="2030185"/>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712305</xdr:colOff>
      <xdr:row>45</xdr:row>
      <xdr:rowOff>140804</xdr:rowOff>
    </xdr:from>
    <xdr:to>
      <xdr:col>4</xdr:col>
      <xdr:colOff>714691</xdr:colOff>
      <xdr:row>47</xdr:row>
      <xdr:rowOff>181288</xdr:rowOff>
    </xdr:to>
    <xdr:cxnSp macro="">
      <xdr:nvCxnSpPr>
        <xdr:cNvPr id="27" name="Straight Connector 26"/>
        <xdr:cNvCxnSpPr/>
      </xdr:nvCxnSpPr>
      <xdr:spPr>
        <a:xfrm>
          <a:off x="7735957" y="9566413"/>
          <a:ext cx="2386" cy="404918"/>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959222</xdr:colOff>
      <xdr:row>15</xdr:row>
      <xdr:rowOff>71718</xdr:rowOff>
    </xdr:from>
    <xdr:to>
      <xdr:col>6</xdr:col>
      <xdr:colOff>869576</xdr:colOff>
      <xdr:row>26</xdr:row>
      <xdr:rowOff>23383</xdr:rowOff>
    </xdr:to>
    <xdr:pic>
      <xdr:nvPicPr>
        <xdr:cNvPr id="7" name="Afbeelding 6" descr="C:\Users\r.essink_medicijnge\AppData\Local\Microsoft\Windows\INetCache\Content.Outlook\JMEPBVP5\Afbeelding (2).pn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04846" y="3881718"/>
          <a:ext cx="6104965" cy="153841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27214</xdr:colOff>
      <xdr:row>31</xdr:row>
      <xdr:rowOff>87086</xdr:rowOff>
    </xdr:from>
    <xdr:to>
      <xdr:col>4</xdr:col>
      <xdr:colOff>386443</xdr:colOff>
      <xdr:row>31</xdr:row>
      <xdr:rowOff>87086</xdr:rowOff>
    </xdr:to>
    <xdr:cxnSp macro="">
      <xdr:nvCxnSpPr>
        <xdr:cNvPr id="3" name="Straight Connector 19"/>
        <xdr:cNvCxnSpPr/>
      </xdr:nvCxnSpPr>
      <xdr:spPr>
        <a:xfrm>
          <a:off x="7250974" y="7684226"/>
          <a:ext cx="359229" cy="0"/>
        </a:xfrm>
        <a:prstGeom prst="line">
          <a:avLst/>
        </a:prstGeom>
        <a:ln w="15875">
          <a:solidFill>
            <a:srgbClr val="0000F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713014</xdr:colOff>
      <xdr:row>31</xdr:row>
      <xdr:rowOff>157843</xdr:rowOff>
    </xdr:from>
    <xdr:to>
      <xdr:col>4</xdr:col>
      <xdr:colOff>718457</xdr:colOff>
      <xdr:row>42</xdr:row>
      <xdr:rowOff>174171</xdr:rowOff>
    </xdr:to>
    <xdr:cxnSp macro="">
      <xdr:nvCxnSpPr>
        <xdr:cNvPr id="4" name="Straight Connector 23"/>
        <xdr:cNvCxnSpPr/>
      </xdr:nvCxnSpPr>
      <xdr:spPr>
        <a:xfrm>
          <a:off x="7936774" y="7754983"/>
          <a:ext cx="5443" cy="1997528"/>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712305</xdr:colOff>
      <xdr:row>45</xdr:row>
      <xdr:rowOff>140804</xdr:rowOff>
    </xdr:from>
    <xdr:to>
      <xdr:col>4</xdr:col>
      <xdr:colOff>714691</xdr:colOff>
      <xdr:row>47</xdr:row>
      <xdr:rowOff>181288</xdr:rowOff>
    </xdr:to>
    <xdr:cxnSp macro="">
      <xdr:nvCxnSpPr>
        <xdr:cNvPr id="5" name="Straight Connector 26"/>
        <xdr:cNvCxnSpPr/>
      </xdr:nvCxnSpPr>
      <xdr:spPr>
        <a:xfrm>
          <a:off x="7936065" y="10237304"/>
          <a:ext cx="2386" cy="406244"/>
        </a:xfrm>
        <a:prstGeom prst="line">
          <a:avLst/>
        </a:prstGeom>
        <a:ln w="15875">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143435</xdr:colOff>
      <xdr:row>15</xdr:row>
      <xdr:rowOff>116540</xdr:rowOff>
    </xdr:from>
    <xdr:to>
      <xdr:col>7</xdr:col>
      <xdr:colOff>265355</xdr:colOff>
      <xdr:row>26</xdr:row>
      <xdr:rowOff>107577</xdr:rowOff>
    </xdr:to>
    <xdr:pic>
      <xdr:nvPicPr>
        <xdr:cNvPr id="6" name="Afbeelding 5" descr="C:\Users\r.essink_medicijnge\AppData\Local\Microsoft\Windows\INetCache\Content.Outlook\JMEPBVP5\Afbeelding (2).pn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77953" y="3926540"/>
          <a:ext cx="6280673" cy="1631578"/>
        </a:xfrm>
        <a:prstGeom prst="rect">
          <a:avLst/>
        </a:prstGeom>
        <a:noFill/>
        <a:ln>
          <a:noFill/>
        </a:ln>
      </xdr:spPr>
    </xdr:pic>
    <xdr:clientData/>
  </xdr:twoCellAnchor>
</xdr:wsDr>
</file>

<file path=xl/theme/theme1.xml><?xml version="1.0" encoding="utf-8"?>
<a:theme xmlns:a="http://schemas.openxmlformats.org/drawingml/2006/main" name="Kantoorthema">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election activeCell="A14" sqref="A14"/>
    </sheetView>
  </sheetViews>
  <sheetFormatPr defaultRowHeight="13.2" x14ac:dyDescent="0.25"/>
  <cols>
    <col min="1" max="1" width="85.88671875" customWidth="1"/>
  </cols>
  <sheetData>
    <row r="1" spans="1:1" ht="17.399999999999999" x14ac:dyDescent="0.3">
      <c r="A1" s="16" t="s">
        <v>75</v>
      </c>
    </row>
    <row r="3" spans="1:1" ht="39.6" x14ac:dyDescent="0.25">
      <c r="A3" s="11" t="s">
        <v>50</v>
      </c>
    </row>
    <row r="4" spans="1:1" s="141" customFormat="1" x14ac:dyDescent="0.25"/>
    <row r="5" spans="1:1" s="141" customFormat="1" x14ac:dyDescent="0.25">
      <c r="A5" s="141" t="s">
        <v>51</v>
      </c>
    </row>
    <row r="6" spans="1:1" s="141" customFormat="1" x14ac:dyDescent="0.25"/>
    <row r="7" spans="1:1" x14ac:dyDescent="0.25">
      <c r="A7" t="s">
        <v>11</v>
      </c>
    </row>
    <row r="8" spans="1:1" ht="79.2" x14ac:dyDescent="0.25">
      <c r="A8" s="11" t="s">
        <v>12</v>
      </c>
    </row>
  </sheetData>
  <pageMargins left="0.70866141732283472" right="0.70866141732283472" top="1.1417322834645669" bottom="0.74803149606299213" header="0.31496062992125984" footer="0.31496062992125984"/>
  <pageSetup paperSize="9" orientation="portrait" r:id="rId1"/>
  <headerFooter>
    <oddHeader>&amp;L&amp;G&amp;R&amp;G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2"/>
  <sheetViews>
    <sheetView tabSelected="1" topLeftCell="A10" workbookViewId="0">
      <selection activeCell="A21" sqref="A21:XFD21"/>
    </sheetView>
  </sheetViews>
  <sheetFormatPr defaultRowHeight="13.2" x14ac:dyDescent="0.25"/>
  <cols>
    <col min="1" max="1" width="142.44140625" customWidth="1"/>
  </cols>
  <sheetData>
    <row r="1" spans="1:1" x14ac:dyDescent="0.25">
      <c r="A1" s="9" t="s">
        <v>22</v>
      </c>
    </row>
    <row r="2" spans="1:1" x14ac:dyDescent="0.25">
      <c r="A2" t="s">
        <v>73</v>
      </c>
    </row>
    <row r="3" spans="1:1" x14ac:dyDescent="0.25">
      <c r="A3" t="s">
        <v>53</v>
      </c>
    </row>
    <row r="4" spans="1:1" x14ac:dyDescent="0.25">
      <c r="A4" t="s">
        <v>54</v>
      </c>
    </row>
    <row r="5" spans="1:1" x14ac:dyDescent="0.25">
      <c r="A5" t="s">
        <v>29</v>
      </c>
    </row>
    <row r="7" spans="1:1" s="9" customFormat="1" x14ac:dyDescent="0.25">
      <c r="A7" s="9" t="s">
        <v>23</v>
      </c>
    </row>
    <row r="8" spans="1:1" x14ac:dyDescent="0.25">
      <c r="A8" t="s">
        <v>13</v>
      </c>
    </row>
    <row r="9" spans="1:1" x14ac:dyDescent="0.25">
      <c r="A9" t="s">
        <v>14</v>
      </c>
    </row>
    <row r="10" spans="1:1" x14ac:dyDescent="0.25">
      <c r="A10" t="s">
        <v>61</v>
      </c>
    </row>
    <row r="12" spans="1:1" s="9" customFormat="1" x14ac:dyDescent="0.25">
      <c r="A12" s="9" t="s">
        <v>24</v>
      </c>
    </row>
    <row r="13" spans="1:1" x14ac:dyDescent="0.25">
      <c r="A13" t="s">
        <v>52</v>
      </c>
    </row>
    <row r="14" spans="1:1" x14ac:dyDescent="0.25">
      <c r="A14" t="s">
        <v>15</v>
      </c>
    </row>
    <row r="15" spans="1:1" x14ac:dyDescent="0.25">
      <c r="A15" t="s">
        <v>16</v>
      </c>
    </row>
    <row r="16" spans="1:1" x14ac:dyDescent="0.25">
      <c r="A16" t="s">
        <v>78</v>
      </c>
    </row>
    <row r="18" spans="1:2" x14ac:dyDescent="0.25">
      <c r="A18" t="s">
        <v>27</v>
      </c>
    </row>
    <row r="19" spans="1:2" x14ac:dyDescent="0.25">
      <c r="A19" t="s">
        <v>74</v>
      </c>
    </row>
    <row r="20" spans="1:2" x14ac:dyDescent="0.25">
      <c r="A20" t="s">
        <v>28</v>
      </c>
    </row>
    <row r="21" spans="1:2" x14ac:dyDescent="0.25">
      <c r="A21" t="s">
        <v>87</v>
      </c>
    </row>
    <row r="23" spans="1:2" x14ac:dyDescent="0.25">
      <c r="A23" t="s">
        <v>49</v>
      </c>
    </row>
    <row r="25" spans="1:2" s="141" customFormat="1" x14ac:dyDescent="0.25">
      <c r="A25" s="140" t="s">
        <v>25</v>
      </c>
    </row>
    <row r="26" spans="1:2" s="141" customFormat="1" x14ac:dyDescent="0.25">
      <c r="A26" s="141" t="s">
        <v>76</v>
      </c>
    </row>
    <row r="27" spans="1:2" s="141" customFormat="1" x14ac:dyDescent="0.25">
      <c r="A27" s="141" t="s">
        <v>83</v>
      </c>
    </row>
    <row r="28" spans="1:2" s="141" customFormat="1" x14ac:dyDescent="0.25">
      <c r="A28" s="141" t="s">
        <v>84</v>
      </c>
      <c r="B28" s="142"/>
    </row>
    <row r="29" spans="1:2" s="141" customFormat="1" x14ac:dyDescent="0.25">
      <c r="A29" s="141" t="s">
        <v>79</v>
      </c>
    </row>
    <row r="30" spans="1:2" x14ac:dyDescent="0.25">
      <c r="A30" t="s">
        <v>26</v>
      </c>
    </row>
    <row r="31" spans="1:2" x14ac:dyDescent="0.25">
      <c r="A31" t="s">
        <v>47</v>
      </c>
    </row>
    <row r="32" spans="1:2" x14ac:dyDescent="0.25">
      <c r="A32" t="s">
        <v>48</v>
      </c>
    </row>
  </sheetData>
  <pageMargins left="0.7" right="0.7" top="0.75" bottom="0.75" header="0.3" footer="0.3"/>
  <pageSetup paperSize="9"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2">
    <pageSetUpPr fitToPage="1"/>
  </sheetPr>
  <dimension ref="A1:D16"/>
  <sheetViews>
    <sheetView topLeftCell="A13" zoomScale="85" zoomScaleNormal="85" workbookViewId="0">
      <selection activeCell="B6" sqref="B6"/>
    </sheetView>
  </sheetViews>
  <sheetFormatPr defaultRowHeight="25.2" customHeight="1" x14ac:dyDescent="0.25"/>
  <cols>
    <col min="1" max="1" width="65.5546875" bestFit="1" customWidth="1"/>
    <col min="2" max="2" width="11.44140625" style="1" customWidth="1"/>
    <col min="3" max="3" width="102.6640625" style="11" bestFit="1" customWidth="1"/>
    <col min="4" max="4" width="11.5546875" style="2" bestFit="1" customWidth="1"/>
    <col min="5" max="5" width="53.109375" bestFit="1" customWidth="1"/>
    <col min="6" max="8" width="15.6640625" customWidth="1"/>
    <col min="9" max="9" width="3.5546875" customWidth="1"/>
    <col min="10" max="10" width="4.6640625" customWidth="1"/>
    <col min="11" max="11" width="5.6640625" customWidth="1"/>
    <col min="12" max="12" width="1.33203125" customWidth="1"/>
    <col min="13" max="13" width="26" bestFit="1" customWidth="1"/>
  </cols>
  <sheetData>
    <row r="1" spans="1:4" s="9" customFormat="1" ht="13.2" customHeight="1" x14ac:dyDescent="0.25">
      <c r="A1" s="9" t="s">
        <v>23</v>
      </c>
      <c r="B1" s="17"/>
      <c r="C1" s="19"/>
      <c r="D1" s="18"/>
    </row>
    <row r="2" spans="1:4" ht="13.2" customHeight="1" x14ac:dyDescent="0.25">
      <c r="A2" t="s">
        <v>14</v>
      </c>
      <c r="B2"/>
      <c r="D2"/>
    </row>
    <row r="3" spans="1:4" ht="13.2" customHeight="1" x14ac:dyDescent="0.25">
      <c r="A3" t="s">
        <v>61</v>
      </c>
      <c r="B3"/>
      <c r="D3"/>
    </row>
    <row r="4" spans="1:4" ht="13.2" customHeight="1" x14ac:dyDescent="0.25"/>
    <row r="5" spans="1:4" ht="25.2" customHeight="1" x14ac:dyDescent="0.25">
      <c r="B5" s="8"/>
      <c r="C5" s="11" t="s">
        <v>2</v>
      </c>
    </row>
    <row r="6" spans="1:4" ht="25.2" customHeight="1" x14ac:dyDescent="0.25">
      <c r="A6" s="3" t="s">
        <v>60</v>
      </c>
      <c r="B6" s="58"/>
      <c r="C6" s="21" t="s">
        <v>30</v>
      </c>
    </row>
    <row r="7" spans="1:4" ht="25.2" customHeight="1" x14ac:dyDescent="0.25">
      <c r="A7" s="3" t="s">
        <v>55</v>
      </c>
      <c r="B7" s="12">
        <f>5*70*52/8</f>
        <v>2275</v>
      </c>
      <c r="C7" s="21" t="s">
        <v>59</v>
      </c>
    </row>
    <row r="8" spans="1:4" ht="25.2" customHeight="1" x14ac:dyDescent="0.25">
      <c r="A8" s="3" t="s">
        <v>56</v>
      </c>
      <c r="B8" s="61">
        <f>B7/12</f>
        <v>189.58333333333334</v>
      </c>
      <c r="C8" s="21"/>
    </row>
    <row r="9" spans="1:4" ht="25.2" customHeight="1" x14ac:dyDescent="0.25">
      <c r="A9" s="3" t="s">
        <v>57</v>
      </c>
      <c r="B9" s="13">
        <f>B6/B7</f>
        <v>0</v>
      </c>
      <c r="C9" s="21"/>
    </row>
    <row r="10" spans="1:4" ht="25.2" customHeight="1" x14ac:dyDescent="0.25">
      <c r="B10" s="4"/>
      <c r="C10" s="21"/>
    </row>
    <row r="11" spans="1:4" ht="25.2" customHeight="1" x14ac:dyDescent="0.25">
      <c r="A11" s="3" t="s">
        <v>58</v>
      </c>
      <c r="B11" s="60">
        <v>4.92</v>
      </c>
      <c r="C11" s="143" t="s">
        <v>82</v>
      </c>
    </row>
    <row r="12" spans="1:4" s="137" customFormat="1" ht="25.2" customHeight="1" x14ac:dyDescent="0.25">
      <c r="B12" s="138"/>
      <c r="C12" s="144" t="s">
        <v>77</v>
      </c>
    </row>
    <row r="16" spans="1:4" ht="25.2" customHeight="1" x14ac:dyDescent="0.25">
      <c r="A16" s="1"/>
      <c r="B16"/>
      <c r="C16" s="20"/>
      <c r="D16"/>
    </row>
  </sheetData>
  <sheetProtection selectLockedCells="1"/>
  <pageMargins left="0.70866141732283472" right="0.70866141732283472" top="0.98425196850393704" bottom="0.74803149606299213" header="0.31496062992125984" footer="0.31496062992125984"/>
  <pageSetup paperSize="9" scale="69" fitToHeight="2" orientation="portrait" r:id="rId1"/>
  <headerFooter>
    <oddHeader>&amp;L&amp;14&amp;K04+000
Scenario analyse Enbrel-Benepali switch
&amp;R&amp;G</oddHeader>
    <oddFooter>&amp;C&amp;F / &amp;A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pageSetUpPr fitToPage="1"/>
  </sheetPr>
  <dimension ref="A1:I70"/>
  <sheetViews>
    <sheetView zoomScale="85" zoomScaleNormal="85" workbookViewId="0">
      <selection activeCell="A22" sqref="A22:XFD26"/>
    </sheetView>
  </sheetViews>
  <sheetFormatPr defaultColWidth="9.109375" defaultRowHeight="13.2" x14ac:dyDescent="0.25"/>
  <cols>
    <col min="1" max="1" width="62.109375" style="27" customWidth="1"/>
    <col min="2" max="2" width="14.44140625" style="25" bestFit="1" customWidth="1"/>
    <col min="3" max="3" width="17.33203125" style="26" customWidth="1"/>
    <col min="4" max="4" width="14" style="27" customWidth="1"/>
    <col min="5" max="5" width="16.6640625" style="27" customWidth="1"/>
    <col min="6" max="6" width="59.5546875" style="28" customWidth="1"/>
    <col min="7" max="7" width="13.44140625" style="27" bestFit="1" customWidth="1"/>
    <col min="8" max="8" width="17.33203125" style="27" customWidth="1"/>
    <col min="9" max="9" width="14" style="27" customWidth="1"/>
    <col min="10" max="10" width="4.6640625" style="27" customWidth="1"/>
    <col min="11" max="11" width="5.6640625" style="27" customWidth="1"/>
    <col min="12" max="12" width="1.33203125" style="27" customWidth="1"/>
    <col min="13" max="13" width="26" style="27" bestFit="1" customWidth="1"/>
    <col min="14" max="16384" width="9.109375" style="27"/>
  </cols>
  <sheetData>
    <row r="1" spans="1:7" x14ac:dyDescent="0.25">
      <c r="A1" s="24" t="s">
        <v>31</v>
      </c>
    </row>
    <row r="2" spans="1:7" x14ac:dyDescent="0.25">
      <c r="A2" s="27" t="s">
        <v>78</v>
      </c>
      <c r="B2" s="27"/>
      <c r="C2" s="27"/>
    </row>
    <row r="4" spans="1:7" ht="19.5" customHeight="1" x14ac:dyDescent="0.25">
      <c r="A4" s="24" t="s">
        <v>3</v>
      </c>
      <c r="B4" s="7"/>
    </row>
    <row r="5" spans="1:7" ht="22.2" customHeight="1" x14ac:dyDescent="0.25">
      <c r="A5" s="32" t="s">
        <v>71</v>
      </c>
      <c r="B5" s="62">
        <f>Voorblad!B6</f>
        <v>0</v>
      </c>
    </row>
    <row r="6" spans="1:7" ht="22.2" customHeight="1" x14ac:dyDescent="0.25">
      <c r="A6" s="29" t="s">
        <v>55</v>
      </c>
      <c r="B6" s="62">
        <f>Voorblad!B7</f>
        <v>2275</v>
      </c>
    </row>
    <row r="7" spans="1:7" ht="22.2" customHeight="1" x14ac:dyDescent="0.25">
      <c r="A7" s="29" t="s">
        <v>56</v>
      </c>
      <c r="B7" s="62">
        <f>Voorblad!B8</f>
        <v>189.58333333333334</v>
      </c>
    </row>
    <row r="8" spans="1:7" ht="22.2" customHeight="1" x14ac:dyDescent="0.25">
      <c r="A8" s="29" t="s">
        <v>72</v>
      </c>
      <c r="B8" s="14">
        <f>Voorblad!B9</f>
        <v>0</v>
      </c>
    </row>
    <row r="9" spans="1:7" ht="22.2" customHeight="1" x14ac:dyDescent="0.25">
      <c r="B9" s="6"/>
      <c r="G9" s="30"/>
    </row>
    <row r="10" spans="1:7" ht="22.2" customHeight="1" x14ac:dyDescent="0.25">
      <c r="A10" s="29" t="s">
        <v>58</v>
      </c>
      <c r="B10" s="65">
        <f>Voorblad!B11</f>
        <v>4.92</v>
      </c>
      <c r="D10" s="31"/>
    </row>
    <row r="11" spans="1:7" ht="22.2" customHeight="1" x14ac:dyDescent="0.25">
      <c r="A11" s="32" t="s">
        <v>62</v>
      </c>
      <c r="B11" s="66"/>
      <c r="C11" s="139" t="s">
        <v>80</v>
      </c>
    </row>
    <row r="12" spans="1:7" ht="22.2" customHeight="1" x14ac:dyDescent="0.25">
      <c r="A12" s="29" t="s">
        <v>63</v>
      </c>
      <c r="B12" s="66"/>
      <c r="C12" s="139" t="s">
        <v>80</v>
      </c>
    </row>
    <row r="13" spans="1:7" ht="22.2" customHeight="1" x14ac:dyDescent="0.25">
      <c r="A13" s="33" t="s">
        <v>64</v>
      </c>
      <c r="B13" s="66"/>
      <c r="C13" s="139" t="s">
        <v>80</v>
      </c>
    </row>
    <row r="14" spans="1:7" ht="22.2" customHeight="1" x14ac:dyDescent="0.25">
      <c r="A14" s="29" t="s">
        <v>68</v>
      </c>
      <c r="B14" s="66"/>
      <c r="C14" s="139" t="s">
        <v>81</v>
      </c>
    </row>
    <row r="15" spans="1:7" ht="22.2" customHeight="1" x14ac:dyDescent="0.25">
      <c r="B15" s="5"/>
    </row>
    <row r="16" spans="1:7" ht="22.2" customHeight="1" x14ac:dyDescent="0.25">
      <c r="A16" s="24" t="s">
        <v>5</v>
      </c>
      <c r="B16" s="10"/>
    </row>
    <row r="17" spans="1:9" ht="22.2" customHeight="1" x14ac:dyDescent="0.25">
      <c r="A17" s="29" t="s">
        <v>65</v>
      </c>
      <c r="B17" s="63"/>
    </row>
    <row r="18" spans="1:9" ht="22.2" customHeight="1" x14ac:dyDescent="0.25">
      <c r="A18" s="29" t="s">
        <v>86</v>
      </c>
      <c r="B18" s="67">
        <f>100%-B17</f>
        <v>1</v>
      </c>
    </row>
    <row r="19" spans="1:9" ht="22.2" customHeight="1" x14ac:dyDescent="0.25">
      <c r="B19" s="64"/>
    </row>
    <row r="20" spans="1:9" ht="22.2" customHeight="1" x14ac:dyDescent="0.25">
      <c r="A20" s="29" t="s">
        <v>32</v>
      </c>
      <c r="B20" s="68"/>
    </row>
    <row r="21" spans="1:9" ht="15.6" customHeight="1" x14ac:dyDescent="0.25">
      <c r="A21" s="29" t="s">
        <v>18</v>
      </c>
      <c r="B21" s="136"/>
    </row>
    <row r="22" spans="1:9" ht="14.4" hidden="1" x14ac:dyDescent="0.25">
      <c r="A22" s="34" t="s">
        <v>34</v>
      </c>
      <c r="B22" s="22" t="str">
        <f>"1-1-"&amp; YEAR(B20)</f>
        <v>1-1-1900</v>
      </c>
    </row>
    <row r="23" spans="1:9" ht="15" hidden="1" x14ac:dyDescent="0.35">
      <c r="A23" s="34" t="s">
        <v>33</v>
      </c>
      <c r="B23" s="22">
        <f>DATE(YEAR(B20)+1,12,31)</f>
        <v>731</v>
      </c>
      <c r="E23" s="35"/>
    </row>
    <row r="24" spans="1:9" ht="14.4" hidden="1" x14ac:dyDescent="0.25">
      <c r="A24" s="36" t="s">
        <v>35</v>
      </c>
      <c r="B24" s="23">
        <f>ROUND((B20-B22)/365*12,0)</f>
        <v>0</v>
      </c>
    </row>
    <row r="25" spans="1:9" ht="14.4" hidden="1" x14ac:dyDescent="0.25">
      <c r="A25" s="36" t="s">
        <v>36</v>
      </c>
      <c r="B25" s="23">
        <f>ROUND(((B21-B20)/365*12),0)</f>
        <v>0</v>
      </c>
    </row>
    <row r="26" spans="1:9" ht="14.4" hidden="1" x14ac:dyDescent="0.25">
      <c r="A26" s="36" t="s">
        <v>37</v>
      </c>
      <c r="B26" s="23">
        <f>ROUND(((B23-B21)/365*12),0)</f>
        <v>24</v>
      </c>
    </row>
    <row r="27" spans="1:9" x14ac:dyDescent="0.25">
      <c r="B27" s="27"/>
      <c r="C27" s="27"/>
    </row>
    <row r="28" spans="1:9" ht="22.2" customHeight="1" x14ac:dyDescent="0.25">
      <c r="A28" s="29" t="s">
        <v>4</v>
      </c>
      <c r="B28" s="15"/>
      <c r="C28" s="26" t="s">
        <v>19</v>
      </c>
    </row>
    <row r="29" spans="1:9" ht="22.2" customHeight="1" x14ac:dyDescent="0.25">
      <c r="A29" s="37"/>
      <c r="B29" s="27"/>
      <c r="C29" s="27"/>
    </row>
    <row r="30" spans="1:9" s="39" customFormat="1" ht="17.399999999999999" x14ac:dyDescent="0.25">
      <c r="A30" s="38"/>
      <c r="B30" s="38"/>
      <c r="C30" s="38"/>
      <c r="D30" s="38"/>
      <c r="E30" s="38"/>
      <c r="F30" s="38"/>
      <c r="G30" s="38"/>
      <c r="H30" s="38"/>
      <c r="I30" s="38"/>
    </row>
    <row r="31" spans="1:9" s="39" customFormat="1" ht="13.35" customHeight="1" x14ac:dyDescent="0.25">
      <c r="A31" s="40" t="s">
        <v>44</v>
      </c>
      <c r="B31" s="86" t="s">
        <v>0</v>
      </c>
      <c r="C31" s="86"/>
      <c r="D31" s="87" t="s">
        <v>40</v>
      </c>
      <c r="E31" s="38"/>
      <c r="F31" s="38"/>
      <c r="G31" s="38"/>
      <c r="H31" s="38"/>
      <c r="I31" s="38"/>
    </row>
    <row r="32" spans="1:9" s="39" customFormat="1" ht="13.35" customHeight="1" x14ac:dyDescent="0.25">
      <c r="A32" s="41" t="s">
        <v>70</v>
      </c>
      <c r="B32" s="117">
        <f>B5*B10</f>
        <v>0</v>
      </c>
      <c r="C32" s="88"/>
      <c r="D32" s="125">
        <f>B5*(1-B11)*B10</f>
        <v>0</v>
      </c>
      <c r="E32" s="42">
        <f>D32</f>
        <v>0</v>
      </c>
      <c r="F32" s="43" t="s">
        <v>42</v>
      </c>
      <c r="G32" s="38"/>
      <c r="H32" s="38"/>
      <c r="I32" s="38"/>
    </row>
    <row r="33" spans="1:6" ht="13.35" customHeight="1" x14ac:dyDescent="0.25">
      <c r="B33" s="75"/>
      <c r="C33" s="75"/>
      <c r="D33" s="75"/>
    </row>
    <row r="34" spans="1:6" ht="12.75" customHeight="1" x14ac:dyDescent="0.25">
      <c r="A34" s="44" t="str">
        <f>CONCATENATE("Kosten switchjaren ",YEAR(B22),"-",YEAR(B23))</f>
        <v>Kosten switchjaren 1900-1901</v>
      </c>
      <c r="B34" s="90" t="s">
        <v>0</v>
      </c>
      <c r="C34" s="90" t="s">
        <v>20</v>
      </c>
      <c r="D34" s="91" t="s">
        <v>21</v>
      </c>
    </row>
    <row r="35" spans="1:6" ht="15" customHeight="1" x14ac:dyDescent="0.25">
      <c r="A35" s="41" t="s">
        <v>66</v>
      </c>
      <c r="B35" s="118">
        <f>B5*B10*2</f>
        <v>0</v>
      </c>
      <c r="C35" s="126">
        <f>(B8*B7*(1-B11)*B10*B24)+(B8*B7*(1-B12)*B10*(B25+B26))</f>
        <v>0</v>
      </c>
      <c r="D35" s="127"/>
    </row>
    <row r="36" spans="1:6" ht="15" customHeight="1" x14ac:dyDescent="0.25">
      <c r="A36" s="45" t="s">
        <v>6</v>
      </c>
      <c r="B36" s="119"/>
      <c r="C36" s="126"/>
      <c r="D36" s="69">
        <f>B8*B7*(1-B11)*B10*B24</f>
        <v>0</v>
      </c>
    </row>
    <row r="37" spans="1:6" ht="15" customHeight="1" x14ac:dyDescent="0.25">
      <c r="A37" s="45" t="s">
        <v>38</v>
      </c>
      <c r="B37" s="119"/>
      <c r="C37" s="126"/>
      <c r="D37" s="69">
        <f>(B8*B18*B7*(1-B13)*B10*B25)</f>
        <v>0</v>
      </c>
    </row>
    <row r="38" spans="1:6" x14ac:dyDescent="0.25">
      <c r="A38" s="45" t="s">
        <v>7</v>
      </c>
      <c r="B38" s="119"/>
      <c r="C38" s="126"/>
      <c r="D38" s="69">
        <f>(0.5*B8*B17*B7*(1-B13)*B10*B25)</f>
        <v>0</v>
      </c>
    </row>
    <row r="39" spans="1:6" x14ac:dyDescent="0.25">
      <c r="A39" s="46" t="s">
        <v>39</v>
      </c>
      <c r="B39" s="120"/>
      <c r="C39" s="128"/>
      <c r="D39" s="70">
        <f>+B8*(B18)*B7*(1-B13)*B10*B26</f>
        <v>0</v>
      </c>
    </row>
    <row r="40" spans="1:6" x14ac:dyDescent="0.25">
      <c r="A40" s="47" t="s">
        <v>67</v>
      </c>
      <c r="B40" s="121"/>
      <c r="C40" s="129"/>
      <c r="D40" s="127"/>
    </row>
    <row r="41" spans="1:6" x14ac:dyDescent="0.25">
      <c r="A41" s="48" t="s">
        <v>7</v>
      </c>
      <c r="B41" s="122"/>
      <c r="C41" s="130"/>
      <c r="D41" s="71">
        <f>(0.5*B8*B17*B7*(1-B14)*B10*B25)</f>
        <v>0</v>
      </c>
    </row>
    <row r="42" spans="1:6" x14ac:dyDescent="0.25">
      <c r="A42" s="49" t="s">
        <v>8</v>
      </c>
      <c r="B42" s="92"/>
      <c r="C42" s="93"/>
      <c r="D42" s="72">
        <f>B8*B17*B7*(1-B14)*B10*B26</f>
        <v>0</v>
      </c>
    </row>
    <row r="43" spans="1:6" x14ac:dyDescent="0.25">
      <c r="A43" s="50" t="s">
        <v>1</v>
      </c>
      <c r="B43" s="95"/>
      <c r="C43" s="96"/>
      <c r="D43" s="131">
        <f>B28*B8*B17</f>
        <v>0</v>
      </c>
    </row>
    <row r="44" spans="1:6" x14ac:dyDescent="0.25">
      <c r="A44" s="51" t="s">
        <v>9</v>
      </c>
      <c r="B44" s="98">
        <f>SUM(B35:B43)</f>
        <v>0</v>
      </c>
      <c r="C44" s="99">
        <f>SUM(C35:C43)</f>
        <v>0</v>
      </c>
      <c r="D44" s="100">
        <f>SUM(D35:D43)</f>
        <v>0</v>
      </c>
      <c r="E44" s="42">
        <f>D44/2</f>
        <v>0</v>
      </c>
      <c r="F44" s="43" t="s">
        <v>41</v>
      </c>
    </row>
    <row r="45" spans="1:6" x14ac:dyDescent="0.25">
      <c r="A45" s="52" t="s">
        <v>10</v>
      </c>
      <c r="B45" s="102"/>
      <c r="C45" s="103"/>
      <c r="D45" s="53">
        <f>C44-D44</f>
        <v>0</v>
      </c>
      <c r="E45" s="42">
        <f>E32-E44</f>
        <v>0</v>
      </c>
      <c r="F45" s="43" t="s">
        <v>43</v>
      </c>
    </row>
    <row r="46" spans="1:6" ht="15.75" customHeight="1" x14ac:dyDescent="0.25">
      <c r="A46" s="54"/>
      <c r="B46" s="104"/>
      <c r="C46" s="105"/>
      <c r="D46" s="104"/>
    </row>
    <row r="47" spans="1:6" ht="13.2" customHeight="1" x14ac:dyDescent="0.25">
      <c r="A47" s="56" t="s">
        <v>45</v>
      </c>
      <c r="B47" s="106" t="s">
        <v>0</v>
      </c>
      <c r="C47" s="106" t="s">
        <v>20</v>
      </c>
      <c r="D47" s="107" t="s">
        <v>21</v>
      </c>
    </row>
    <row r="48" spans="1:6" x14ac:dyDescent="0.25">
      <c r="A48" s="41" t="s">
        <v>70</v>
      </c>
      <c r="B48" s="123">
        <f>B8*B7*12*B10</f>
        <v>0</v>
      </c>
      <c r="C48" s="132">
        <f>B8*B7*(1-B12)*B10*12</f>
        <v>0</v>
      </c>
      <c r="D48" s="133">
        <f>B8*B18*B7*(1-B13)*B10*12</f>
        <v>0</v>
      </c>
    </row>
    <row r="49" spans="1:6" x14ac:dyDescent="0.25">
      <c r="A49" s="57" t="s">
        <v>69</v>
      </c>
      <c r="B49" s="124"/>
      <c r="C49" s="134"/>
      <c r="D49" s="135">
        <f>B8*B17*B7*(1-B14)*B10*12</f>
        <v>0</v>
      </c>
      <c r="E49" s="42">
        <f>D49+D48</f>
        <v>0</v>
      </c>
      <c r="F49" s="43" t="s">
        <v>42</v>
      </c>
    </row>
    <row r="50" spans="1:6" x14ac:dyDescent="0.25">
      <c r="A50" s="54"/>
      <c r="B50" s="54"/>
      <c r="C50" s="55"/>
      <c r="E50" s="42">
        <f>E32-E49</f>
        <v>0</v>
      </c>
      <c r="F50" s="43" t="s">
        <v>43</v>
      </c>
    </row>
    <row r="51" spans="1:6" ht="15.75" customHeight="1" x14ac:dyDescent="0.25">
      <c r="B51" s="27"/>
      <c r="C51" s="27"/>
      <c r="F51" s="43"/>
    </row>
    <row r="52" spans="1:6" ht="12.75" customHeight="1" x14ac:dyDescent="0.25">
      <c r="B52" s="27"/>
      <c r="C52" s="27"/>
    </row>
    <row r="53" spans="1:6" x14ac:dyDescent="0.25">
      <c r="B53" s="27"/>
      <c r="C53" s="27"/>
    </row>
    <row r="54" spans="1:6" x14ac:dyDescent="0.25">
      <c r="B54" s="27"/>
      <c r="C54" s="27"/>
    </row>
    <row r="55" spans="1:6" x14ac:dyDescent="0.25">
      <c r="B55" s="27"/>
      <c r="C55" s="27"/>
    </row>
    <row r="56" spans="1:6" x14ac:dyDescent="0.25">
      <c r="B56" s="27"/>
      <c r="C56" s="27"/>
    </row>
    <row r="57" spans="1:6" x14ac:dyDescent="0.25">
      <c r="B57" s="27"/>
      <c r="C57" s="27"/>
    </row>
    <row r="58" spans="1:6" x14ac:dyDescent="0.25">
      <c r="B58" s="27"/>
      <c r="C58" s="27"/>
    </row>
    <row r="59" spans="1:6" x14ac:dyDescent="0.25">
      <c r="B59" s="27"/>
      <c r="C59" s="27"/>
    </row>
    <row r="60" spans="1:6" x14ac:dyDescent="0.25">
      <c r="B60" s="27"/>
      <c r="C60" s="27"/>
    </row>
    <row r="61" spans="1:6" x14ac:dyDescent="0.25">
      <c r="B61" s="27"/>
      <c r="C61" s="27"/>
    </row>
    <row r="62" spans="1:6" x14ac:dyDescent="0.25">
      <c r="B62" s="27"/>
    </row>
    <row r="63" spans="1:6" x14ac:dyDescent="0.25">
      <c r="B63" s="27"/>
    </row>
    <row r="64" spans="1:6" x14ac:dyDescent="0.25">
      <c r="B64" s="27"/>
    </row>
    <row r="65" spans="2:2" x14ac:dyDescent="0.25">
      <c r="B65" s="27"/>
    </row>
    <row r="66" spans="2:2" x14ac:dyDescent="0.25">
      <c r="B66" s="27"/>
    </row>
    <row r="67" spans="2:2" x14ac:dyDescent="0.25">
      <c r="B67" s="27"/>
    </row>
    <row r="68" spans="2:2" x14ac:dyDescent="0.25">
      <c r="B68" s="27"/>
    </row>
    <row r="69" spans="2:2" x14ac:dyDescent="0.25">
      <c r="B69" s="27"/>
    </row>
    <row r="70" spans="2:2" x14ac:dyDescent="0.25">
      <c r="B70" s="27"/>
    </row>
  </sheetData>
  <sheetProtection selectLockedCells="1"/>
  <conditionalFormatting sqref="D45">
    <cfRule type="cellIs" dxfId="11" priority="23" operator="greaterThan">
      <formula>0</formula>
    </cfRule>
    <cfRule type="cellIs" dxfId="10" priority="24" operator="lessThan">
      <formula>0</formula>
    </cfRule>
  </conditionalFormatting>
  <conditionalFormatting sqref="E45">
    <cfRule type="cellIs" dxfId="9" priority="3" operator="lessThan">
      <formula>0</formula>
    </cfRule>
    <cfRule type="cellIs" dxfId="8" priority="4" operator="greaterThan">
      <formula>0</formula>
    </cfRule>
  </conditionalFormatting>
  <conditionalFormatting sqref="E50">
    <cfRule type="cellIs" dxfId="7" priority="1" operator="lessThan">
      <formula>0</formula>
    </cfRule>
    <cfRule type="cellIs" dxfId="6" priority="2" operator="greaterThan">
      <formula>0</formula>
    </cfRule>
  </conditionalFormatting>
  <pageMargins left="0.70866141732283472" right="0.70866141732283472" top="0.98425196850393704" bottom="0.74803149606299213" header="0.31496062992125984" footer="0.31496062992125984"/>
  <pageSetup paperSize="9" scale="69" fitToHeight="2" orientation="portrait" r:id="rId1"/>
  <headerFooter>
    <oddHeader>&amp;L&amp;14&amp;K04+000
Scenario analyse Enbrel-Benepali switch
&amp;R&amp;G</oddHeader>
    <oddFooter>&amp;C&amp;F / &amp;A</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0"/>
  <sheetViews>
    <sheetView topLeftCell="A7" zoomScale="85" zoomScaleNormal="85" workbookViewId="0">
      <selection activeCell="A22" sqref="A22:XFD26"/>
    </sheetView>
  </sheetViews>
  <sheetFormatPr defaultColWidth="9.109375" defaultRowHeight="13.2" x14ac:dyDescent="0.25"/>
  <cols>
    <col min="1" max="1" width="59.5546875" style="75" customWidth="1"/>
    <col min="2" max="2" width="14.44140625" style="73" bestFit="1" customWidth="1"/>
    <col min="3" max="3" width="17.33203125" style="74" customWidth="1"/>
    <col min="4" max="4" width="14" style="75" customWidth="1"/>
    <col min="5" max="5" width="16.6640625" style="75" customWidth="1"/>
    <col min="6" max="6" width="59.5546875" style="28" customWidth="1"/>
    <col min="7" max="7" width="13.44140625" style="75" bestFit="1" customWidth="1"/>
    <col min="8" max="8" width="17.33203125" style="75" customWidth="1"/>
    <col min="9" max="9" width="14" style="75" customWidth="1"/>
    <col min="10" max="10" width="4.6640625" style="75" customWidth="1"/>
    <col min="11" max="11" width="5.6640625" style="75" customWidth="1"/>
    <col min="12" max="12" width="1.33203125" style="75" customWidth="1"/>
    <col min="13" max="13" width="26" style="75" bestFit="1" customWidth="1"/>
    <col min="14" max="16384" width="9.109375" style="75"/>
  </cols>
  <sheetData>
    <row r="1" spans="1:7" x14ac:dyDescent="0.25">
      <c r="A1" s="24" t="s">
        <v>31</v>
      </c>
    </row>
    <row r="2" spans="1:7" x14ac:dyDescent="0.25">
      <c r="A2" s="75" t="s">
        <v>17</v>
      </c>
      <c r="B2" s="75"/>
      <c r="C2" s="75"/>
    </row>
    <row r="4" spans="1:7" ht="19.5" customHeight="1" x14ac:dyDescent="0.25">
      <c r="A4" s="24" t="s">
        <v>3</v>
      </c>
      <c r="B4" s="7"/>
    </row>
    <row r="5" spans="1:7" ht="22.2" customHeight="1" x14ac:dyDescent="0.25">
      <c r="A5" s="32" t="s">
        <v>71</v>
      </c>
      <c r="B5" s="110">
        <v>227500</v>
      </c>
    </row>
    <row r="6" spans="1:7" ht="22.2" customHeight="1" x14ac:dyDescent="0.25">
      <c r="A6" s="76" t="s">
        <v>55</v>
      </c>
      <c r="B6" s="110">
        <v>2275</v>
      </c>
    </row>
    <row r="7" spans="1:7" ht="22.2" customHeight="1" x14ac:dyDescent="0.25">
      <c r="A7" s="76" t="s">
        <v>56</v>
      </c>
      <c r="B7" s="110">
        <v>190</v>
      </c>
    </row>
    <row r="8" spans="1:7" ht="22.2" customHeight="1" x14ac:dyDescent="0.25">
      <c r="A8" s="76" t="s">
        <v>72</v>
      </c>
      <c r="B8" s="110">
        <v>100</v>
      </c>
    </row>
    <row r="9" spans="1:7" ht="22.2" customHeight="1" x14ac:dyDescent="0.25">
      <c r="B9" s="6"/>
      <c r="G9" s="77"/>
    </row>
    <row r="10" spans="1:7" ht="22.2" customHeight="1" x14ac:dyDescent="0.25">
      <c r="A10" s="76" t="s">
        <v>58</v>
      </c>
      <c r="B10" s="111">
        <f>Voorblad!B11</f>
        <v>4.92</v>
      </c>
      <c r="D10" s="78"/>
    </row>
    <row r="11" spans="1:7" ht="22.2" customHeight="1" x14ac:dyDescent="0.25">
      <c r="A11" s="32" t="s">
        <v>62</v>
      </c>
      <c r="B11" s="112">
        <v>0.15</v>
      </c>
      <c r="C11" s="75" t="s">
        <v>46</v>
      </c>
    </row>
    <row r="12" spans="1:7" ht="22.2" customHeight="1" x14ac:dyDescent="0.25">
      <c r="A12" s="76" t="s">
        <v>63</v>
      </c>
      <c r="B12" s="112">
        <v>0.2</v>
      </c>
      <c r="C12" s="75" t="s">
        <v>46</v>
      </c>
    </row>
    <row r="13" spans="1:7" ht="22.2" customHeight="1" x14ac:dyDescent="0.25">
      <c r="A13" s="79" t="s">
        <v>64</v>
      </c>
      <c r="B13" s="112">
        <v>0.02</v>
      </c>
      <c r="C13" s="75" t="s">
        <v>46</v>
      </c>
    </row>
    <row r="14" spans="1:7" ht="22.2" customHeight="1" x14ac:dyDescent="0.25">
      <c r="A14" s="76" t="s">
        <v>68</v>
      </c>
      <c r="B14" s="112">
        <v>0.35</v>
      </c>
      <c r="C14" s="75" t="s">
        <v>46</v>
      </c>
    </row>
    <row r="15" spans="1:7" ht="22.2" customHeight="1" x14ac:dyDescent="0.25">
      <c r="B15" s="5"/>
    </row>
    <row r="16" spans="1:7" ht="22.2" customHeight="1" x14ac:dyDescent="0.25">
      <c r="A16" s="24" t="s">
        <v>5</v>
      </c>
      <c r="B16" s="10"/>
    </row>
    <row r="17" spans="1:9" ht="22.2" customHeight="1" x14ac:dyDescent="0.25">
      <c r="A17" s="76" t="s">
        <v>65</v>
      </c>
      <c r="B17" s="80">
        <v>0.8</v>
      </c>
      <c r="C17" s="75" t="s">
        <v>46</v>
      </c>
    </row>
    <row r="18" spans="1:9" ht="22.2" customHeight="1" x14ac:dyDescent="0.25">
      <c r="A18" s="76" t="s">
        <v>85</v>
      </c>
      <c r="B18" s="113">
        <f>100%-B17</f>
        <v>0.19999999999999996</v>
      </c>
    </row>
    <row r="19" spans="1:9" ht="22.2" customHeight="1" x14ac:dyDescent="0.25"/>
    <row r="20" spans="1:9" ht="22.2" customHeight="1" x14ac:dyDescent="0.25">
      <c r="A20" s="76" t="s">
        <v>32</v>
      </c>
      <c r="B20" s="114">
        <v>43831</v>
      </c>
    </row>
    <row r="21" spans="1:9" ht="19.8" customHeight="1" x14ac:dyDescent="0.25">
      <c r="A21" s="76" t="s">
        <v>18</v>
      </c>
      <c r="B21" s="114">
        <v>43922</v>
      </c>
    </row>
    <row r="22" spans="1:9" hidden="1" x14ac:dyDescent="0.25">
      <c r="A22" s="81" t="s">
        <v>34</v>
      </c>
      <c r="B22" s="115" t="str">
        <f>"1-1-"&amp; YEAR(B20)</f>
        <v>1-1-2020</v>
      </c>
    </row>
    <row r="23" spans="1:9" ht="15" hidden="1" x14ac:dyDescent="0.35">
      <c r="A23" s="81" t="s">
        <v>33</v>
      </c>
      <c r="B23" s="115">
        <f>DATE(YEAR(B20)+1,12,31)</f>
        <v>44561</v>
      </c>
      <c r="E23" s="35"/>
    </row>
    <row r="24" spans="1:9" hidden="1" x14ac:dyDescent="0.25">
      <c r="A24" s="82" t="s">
        <v>35</v>
      </c>
      <c r="B24" s="116">
        <f>ROUND((B20-B22)/365*12,0)</f>
        <v>0</v>
      </c>
    </row>
    <row r="25" spans="1:9" hidden="1" x14ac:dyDescent="0.25">
      <c r="A25" s="82" t="s">
        <v>36</v>
      </c>
      <c r="B25" s="116">
        <f>ROUND(((B21-B20)/365*12),0)</f>
        <v>3</v>
      </c>
    </row>
    <row r="26" spans="1:9" hidden="1" x14ac:dyDescent="0.25">
      <c r="A26" s="82" t="s">
        <v>37</v>
      </c>
      <c r="B26" s="116">
        <f>ROUND(((B23-B21)/365*12),0)</f>
        <v>21</v>
      </c>
    </row>
    <row r="27" spans="1:9" ht="22.2" customHeight="1" x14ac:dyDescent="0.25">
      <c r="B27" s="75"/>
      <c r="C27" s="75"/>
    </row>
    <row r="28" spans="1:9" ht="22.2" customHeight="1" x14ac:dyDescent="0.25">
      <c r="A28" s="76" t="s">
        <v>4</v>
      </c>
      <c r="B28" s="59">
        <v>50</v>
      </c>
      <c r="C28" s="74" t="s">
        <v>19</v>
      </c>
    </row>
    <row r="29" spans="1:9" ht="22.2" customHeight="1" x14ac:dyDescent="0.25">
      <c r="A29" s="83"/>
      <c r="B29" s="75"/>
      <c r="C29" s="75"/>
    </row>
    <row r="30" spans="1:9" s="85" customFormat="1" x14ac:dyDescent="0.25">
      <c r="A30" s="84"/>
      <c r="B30" s="84"/>
      <c r="C30" s="84"/>
      <c r="D30" s="84"/>
      <c r="E30" s="84"/>
      <c r="F30" s="84"/>
      <c r="G30" s="84"/>
      <c r="H30" s="84"/>
      <c r="I30" s="84"/>
    </row>
    <row r="31" spans="1:9" s="85" customFormat="1" ht="13.35" customHeight="1" x14ac:dyDescent="0.25">
      <c r="A31" s="40" t="s">
        <v>44</v>
      </c>
      <c r="B31" s="86" t="s">
        <v>0</v>
      </c>
      <c r="C31" s="86"/>
      <c r="D31" s="87" t="s">
        <v>40</v>
      </c>
      <c r="E31" s="84"/>
      <c r="F31" s="84"/>
      <c r="G31" s="84"/>
      <c r="H31" s="84"/>
      <c r="I31" s="84"/>
    </row>
    <row r="32" spans="1:9" s="85" customFormat="1" ht="13.35" customHeight="1" x14ac:dyDescent="0.25">
      <c r="A32" s="41" t="s">
        <v>70</v>
      </c>
      <c r="B32" s="117">
        <f>B5*B10</f>
        <v>1119300</v>
      </c>
      <c r="C32" s="88"/>
      <c r="D32" s="125">
        <f>B5*(1-B11)*B10</f>
        <v>951405</v>
      </c>
      <c r="E32" s="89">
        <f>D32</f>
        <v>951405</v>
      </c>
      <c r="F32" s="43" t="s">
        <v>42</v>
      </c>
      <c r="G32" s="84"/>
      <c r="H32" s="84"/>
      <c r="I32" s="84"/>
    </row>
    <row r="33" spans="1:6" ht="13.35" customHeight="1" x14ac:dyDescent="0.25">
      <c r="B33" s="75"/>
      <c r="C33" s="75"/>
    </row>
    <row r="34" spans="1:6" ht="12.75" customHeight="1" x14ac:dyDescent="0.25">
      <c r="A34" s="44" t="str">
        <f>CONCATENATE("Kosten switchjaren ",YEAR(B22),"-",YEAR(B23))</f>
        <v>Kosten switchjaren 2020-2021</v>
      </c>
      <c r="B34" s="90" t="s">
        <v>0</v>
      </c>
      <c r="C34" s="90" t="s">
        <v>20</v>
      </c>
      <c r="D34" s="91" t="s">
        <v>21</v>
      </c>
    </row>
    <row r="35" spans="1:6" ht="15" customHeight="1" x14ac:dyDescent="0.25">
      <c r="A35" s="41" t="s">
        <v>70</v>
      </c>
      <c r="B35" s="118">
        <f>B5*B10*2</f>
        <v>2238600</v>
      </c>
      <c r="C35" s="126">
        <f>(B8*B7*(1-B11)*B10*B24)+(B8*B7*(1-B12)*B10*(B25+B26))</f>
        <v>1794816</v>
      </c>
      <c r="D35" s="127"/>
    </row>
    <row r="36" spans="1:6" ht="15" customHeight="1" x14ac:dyDescent="0.25">
      <c r="A36" s="45" t="s">
        <v>6</v>
      </c>
      <c r="B36" s="119"/>
      <c r="C36" s="126"/>
      <c r="D36" s="69">
        <f>B8*B7*(1-B11)*B10*B24</f>
        <v>0</v>
      </c>
    </row>
    <row r="37" spans="1:6" ht="15" customHeight="1" x14ac:dyDescent="0.25">
      <c r="A37" s="45" t="s">
        <v>38</v>
      </c>
      <c r="B37" s="119"/>
      <c r="C37" s="126"/>
      <c r="D37" s="69">
        <f>B8*B18*B7*(1-B13)*B10*B25</f>
        <v>54966.239999999991</v>
      </c>
    </row>
    <row r="38" spans="1:6" x14ac:dyDescent="0.25">
      <c r="A38" s="45" t="s">
        <v>7</v>
      </c>
      <c r="B38" s="119"/>
      <c r="C38" s="126"/>
      <c r="D38" s="69">
        <f>0.5*B8*B17*B7*(1-B13)*B10*B25</f>
        <v>109932.47999999998</v>
      </c>
    </row>
    <row r="39" spans="1:6" x14ac:dyDescent="0.25">
      <c r="A39" s="46" t="s">
        <v>39</v>
      </c>
      <c r="B39" s="120"/>
      <c r="C39" s="128"/>
      <c r="D39" s="70">
        <f>B8*(B18)*B7*(1-B13)*B10*B26</f>
        <v>384763.67999999993</v>
      </c>
    </row>
    <row r="40" spans="1:6" x14ac:dyDescent="0.25">
      <c r="A40" s="47" t="s">
        <v>67</v>
      </c>
      <c r="B40" s="121"/>
      <c r="C40" s="129"/>
      <c r="D40" s="127"/>
    </row>
    <row r="41" spans="1:6" x14ac:dyDescent="0.25">
      <c r="A41" s="48" t="s">
        <v>7</v>
      </c>
      <c r="B41" s="122"/>
      <c r="C41" s="130"/>
      <c r="D41" s="71">
        <f>0.5*B8*B17*B7*(1-B14)*B10*B25</f>
        <v>72914.399999999994</v>
      </c>
    </row>
    <row r="42" spans="1:6" x14ac:dyDescent="0.25">
      <c r="A42" s="49" t="s">
        <v>8</v>
      </c>
      <c r="B42" s="92"/>
      <c r="C42" s="93"/>
      <c r="D42" s="72">
        <f>B8*B17*B7*(1-B14)*B10*B26</f>
        <v>1020801.6</v>
      </c>
    </row>
    <row r="43" spans="1:6" x14ac:dyDescent="0.25">
      <c r="A43" s="94" t="s">
        <v>1</v>
      </c>
      <c r="B43" s="95"/>
      <c r="C43" s="96"/>
      <c r="D43" s="131">
        <f>B28*B8*B17</f>
        <v>4000</v>
      </c>
    </row>
    <row r="44" spans="1:6" x14ac:dyDescent="0.25">
      <c r="A44" s="97" t="s">
        <v>9</v>
      </c>
      <c r="B44" s="98">
        <f>SUM(B35:B43)</f>
        <v>2238600</v>
      </c>
      <c r="C44" s="99">
        <f>SUM(C35:C43)</f>
        <v>1794816</v>
      </c>
      <c r="D44" s="100">
        <f>SUM(D35:D43)</f>
        <v>1647378.4</v>
      </c>
      <c r="E44" s="89">
        <f>D44/2</f>
        <v>823689.2</v>
      </c>
      <c r="F44" s="43" t="s">
        <v>41</v>
      </c>
    </row>
    <row r="45" spans="1:6" x14ac:dyDescent="0.25">
      <c r="A45" s="101" t="s">
        <v>10</v>
      </c>
      <c r="B45" s="102"/>
      <c r="C45" s="103"/>
      <c r="D45" s="53">
        <f>C44-D44</f>
        <v>147437.60000000009</v>
      </c>
      <c r="E45" s="89">
        <f>E32-E44</f>
        <v>127715.80000000005</v>
      </c>
      <c r="F45" s="43" t="s">
        <v>43</v>
      </c>
    </row>
    <row r="46" spans="1:6" ht="15.75" customHeight="1" x14ac:dyDescent="0.25">
      <c r="A46" s="104"/>
      <c r="B46" s="104"/>
      <c r="C46" s="105"/>
      <c r="D46" s="104"/>
    </row>
    <row r="47" spans="1:6" ht="13.2" customHeight="1" x14ac:dyDescent="0.25">
      <c r="A47" s="56" t="s">
        <v>45</v>
      </c>
      <c r="B47" s="106" t="s">
        <v>0</v>
      </c>
      <c r="C47" s="106" t="s">
        <v>20</v>
      </c>
      <c r="D47" s="107" t="s">
        <v>21</v>
      </c>
    </row>
    <row r="48" spans="1:6" x14ac:dyDescent="0.25">
      <c r="A48" s="41" t="s">
        <v>70</v>
      </c>
      <c r="B48" s="123">
        <f>B8*B7*12*B10</f>
        <v>1121760</v>
      </c>
      <c r="C48" s="132">
        <f>B8*B7*(1-B12)*B10*12</f>
        <v>897408</v>
      </c>
      <c r="D48" s="133">
        <f>B8*B18*B7*(1-B13)*B10*12</f>
        <v>219864.95999999996</v>
      </c>
    </row>
    <row r="49" spans="1:6" x14ac:dyDescent="0.25">
      <c r="A49" s="47" t="s">
        <v>67</v>
      </c>
      <c r="B49" s="124"/>
      <c r="C49" s="134"/>
      <c r="D49" s="135">
        <f>B8*B17*B7*(1-B14)*B10*12</f>
        <v>583315.19999999995</v>
      </c>
      <c r="E49" s="89">
        <f>D49+D48</f>
        <v>803180.15999999992</v>
      </c>
      <c r="F49" s="43" t="s">
        <v>42</v>
      </c>
    </row>
    <row r="50" spans="1:6" x14ac:dyDescent="0.25">
      <c r="A50" s="104"/>
      <c r="B50" s="108"/>
      <c r="C50" s="109"/>
      <c r="D50" s="89"/>
      <c r="E50" s="89">
        <f>E32-E49</f>
        <v>148224.84000000008</v>
      </c>
      <c r="F50" s="43" t="s">
        <v>43</v>
      </c>
    </row>
    <row r="51" spans="1:6" ht="15.75" customHeight="1" x14ac:dyDescent="0.25">
      <c r="B51" s="75"/>
      <c r="C51" s="75"/>
      <c r="F51" s="43"/>
    </row>
    <row r="52" spans="1:6" ht="12.75" customHeight="1" x14ac:dyDescent="0.25">
      <c r="B52" s="75"/>
      <c r="C52" s="75"/>
    </row>
    <row r="53" spans="1:6" x14ac:dyDescent="0.25">
      <c r="B53" s="75"/>
      <c r="C53" s="75"/>
    </row>
    <row r="54" spans="1:6" x14ac:dyDescent="0.25">
      <c r="B54" s="75"/>
      <c r="C54" s="75"/>
    </row>
    <row r="55" spans="1:6" x14ac:dyDescent="0.25">
      <c r="B55" s="75"/>
      <c r="C55" s="75"/>
    </row>
    <row r="56" spans="1:6" x14ac:dyDescent="0.25">
      <c r="B56" s="75"/>
      <c r="C56" s="75"/>
    </row>
    <row r="57" spans="1:6" x14ac:dyDescent="0.25">
      <c r="B57" s="75"/>
      <c r="C57" s="75"/>
    </row>
    <row r="58" spans="1:6" x14ac:dyDescent="0.25">
      <c r="B58" s="75"/>
      <c r="C58" s="75"/>
    </row>
    <row r="59" spans="1:6" x14ac:dyDescent="0.25">
      <c r="B59" s="75"/>
      <c r="C59" s="75"/>
    </row>
    <row r="60" spans="1:6" x14ac:dyDescent="0.25">
      <c r="B60" s="75"/>
      <c r="C60" s="75"/>
    </row>
    <row r="61" spans="1:6" x14ac:dyDescent="0.25">
      <c r="B61" s="75"/>
      <c r="C61" s="75"/>
    </row>
    <row r="62" spans="1:6" x14ac:dyDescent="0.25">
      <c r="B62" s="75"/>
    </row>
    <row r="63" spans="1:6" x14ac:dyDescent="0.25">
      <c r="B63" s="75"/>
    </row>
    <row r="64" spans="1:6" x14ac:dyDescent="0.25">
      <c r="B64" s="75"/>
    </row>
    <row r="65" spans="2:2" x14ac:dyDescent="0.25">
      <c r="B65" s="75"/>
    </row>
    <row r="66" spans="2:2" x14ac:dyDescent="0.25">
      <c r="B66" s="75"/>
    </row>
    <row r="67" spans="2:2" x14ac:dyDescent="0.25">
      <c r="B67" s="75"/>
    </row>
    <row r="68" spans="2:2" x14ac:dyDescent="0.25">
      <c r="B68" s="75"/>
    </row>
    <row r="69" spans="2:2" x14ac:dyDescent="0.25">
      <c r="B69" s="75"/>
    </row>
    <row r="70" spans="2:2" x14ac:dyDescent="0.25">
      <c r="B70" s="75"/>
    </row>
  </sheetData>
  <sheetProtection sheet="1" objects="1" scenarios="1" selectLockedCells="1"/>
  <conditionalFormatting sqref="D45">
    <cfRule type="cellIs" dxfId="5" priority="5" operator="greaterThan">
      <formula>0</formula>
    </cfRule>
    <cfRule type="cellIs" dxfId="4" priority="6" operator="lessThan">
      <formula>0</formula>
    </cfRule>
  </conditionalFormatting>
  <conditionalFormatting sqref="E45">
    <cfRule type="cellIs" dxfId="3" priority="3" operator="lessThan">
      <formula>0</formula>
    </cfRule>
    <cfRule type="cellIs" dxfId="2" priority="4" operator="greaterThan">
      <formula>0</formula>
    </cfRule>
  </conditionalFormatting>
  <conditionalFormatting sqref="E50">
    <cfRule type="cellIs" dxfId="1" priority="1" operator="lessThan">
      <formula>0</formula>
    </cfRule>
    <cfRule type="cellIs" dxfId="0" priority="2" operator="greaterThan">
      <formula>0</formula>
    </cfRule>
  </conditionalFormatting>
  <pageMargins left="0.70866141732283472" right="0.70866141732283472" top="0.98425196850393704" bottom="0.74803149606299213" header="0.31496062992125984" footer="0.31496062992125984"/>
  <pageSetup paperSize="9" scale="69" fitToHeight="2" orientation="portrait" r:id="rId1"/>
  <headerFooter>
    <oddHeader>&amp;L&amp;14&amp;K04+000
Scenario analyse Enbrel-Benepali switch
&amp;R&amp;G</oddHeader>
    <oddFooter>&amp;C&amp;F / &amp;A</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5</vt:i4>
      </vt:variant>
      <vt:variant>
        <vt:lpstr>Benoemde bereiken</vt:lpstr>
      </vt:variant>
      <vt:variant>
        <vt:i4>2</vt:i4>
      </vt:variant>
    </vt:vector>
  </HeadingPairs>
  <TitlesOfParts>
    <vt:vector size="7" baseType="lpstr">
      <vt:lpstr>Titelblad</vt:lpstr>
      <vt:lpstr>Gebruiksaanwijzing</vt:lpstr>
      <vt:lpstr>Voorblad</vt:lpstr>
      <vt:lpstr>Scenario blanco</vt:lpstr>
      <vt:lpstr>Fictief voorbeeld</vt:lpstr>
      <vt:lpstr>'Fictief voorbeeld'!Afdrukbereik</vt:lpstr>
      <vt:lpstr>'Scenario blanco'!Afdrukbereik</vt:lpstr>
    </vt:vector>
  </TitlesOfParts>
  <Company>Gelre Ziekenhuizen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Lerkp01</dc:creator>
  <cp:lastModifiedBy>drs. Rob Essink MPH, senior apotheker</cp:lastModifiedBy>
  <cp:lastPrinted>2018-10-30T13:05:38Z</cp:lastPrinted>
  <dcterms:created xsi:type="dcterms:W3CDTF">2016-04-20T06:38:11Z</dcterms:created>
  <dcterms:modified xsi:type="dcterms:W3CDTF">2019-04-29T08:58:47Z</dcterms:modified>
</cp:coreProperties>
</file>