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checkCompatibility="1"/>
  <mc:AlternateContent xmlns:mc="http://schemas.openxmlformats.org/markup-compatibility/2006">
    <mc:Choice Requires="x15">
      <x15ac:absPath xmlns:x15ac="http://schemas.microsoft.com/office/spreadsheetml/2010/11/ac" url="G:\Projecten\42173 VWS  biosimilars\42173-03\productontwikkeling\Rekenmodellen\"/>
    </mc:Choice>
  </mc:AlternateContent>
  <bookViews>
    <workbookView xWindow="0" yWindow="0" windowWidth="23040" windowHeight="9408" activeTab="1"/>
  </bookViews>
  <sheets>
    <sheet name="Titelblad" sheetId="16" r:id="rId1"/>
    <sheet name="Gebruiksaanwijzing" sheetId="17" r:id="rId2"/>
    <sheet name="Voorblad" sheetId="11" r:id="rId3"/>
    <sheet name="Scenario blanco" sheetId="15" r:id="rId4"/>
    <sheet name="Fictief voorbeeld" sheetId="18" r:id="rId5"/>
  </sheets>
  <definedNames>
    <definedName name="_xlnm.Print_Area" localSheetId="4">'Fictief voorbeeld'!$A$4:$F$29,'Fictief voorbeeld'!$A$33:$I$56</definedName>
    <definedName name="_xlnm.Print_Area" localSheetId="3">'Scenario blanco'!$A$4:$F$29,'Scenario blanco'!$A$33:$I$56</definedName>
    <definedName name="_xlnm.Print_Area" localSheetId="2">Voorblad!$A$5:$F$11,Voorblad!#REF!</definedName>
  </definedNames>
  <calcPr calcId="152511"/>
</workbook>
</file>

<file path=xl/calcChain.xml><?xml version="1.0" encoding="utf-8"?>
<calcChain xmlns="http://schemas.openxmlformats.org/spreadsheetml/2006/main">
  <c r="B23" i="18" l="1"/>
  <c r="B23" i="15"/>
  <c r="C48" i="15" l="1"/>
  <c r="C48" i="18"/>
  <c r="B35" i="18" l="1"/>
  <c r="B44" i="18" s="1"/>
  <c r="B32" i="18"/>
  <c r="B25" i="18"/>
  <c r="B26" i="18"/>
  <c r="B22" i="18"/>
  <c r="B24" i="18" s="1"/>
  <c r="B18" i="18"/>
  <c r="B10" i="18"/>
  <c r="D32" i="18"/>
  <c r="E32" i="18" s="1"/>
  <c r="B26" i="15"/>
  <c r="B25" i="15"/>
  <c r="D39" i="18" l="1"/>
  <c r="C35" i="18"/>
  <c r="D38" i="18"/>
  <c r="D41" i="18"/>
  <c r="D37" i="18"/>
  <c r="A34" i="18"/>
  <c r="B22" i="15"/>
  <c r="B24" i="15" l="1"/>
  <c r="A34" i="15"/>
  <c r="B7" i="11"/>
  <c r="B11" i="11" l="1"/>
  <c r="B10" i="15" s="1"/>
  <c r="B8" i="11" l="1"/>
  <c r="B18" i="15"/>
  <c r="B5" i="15"/>
  <c r="B32" i="15" s="1"/>
  <c r="B35" i="15" l="1"/>
  <c r="D32" i="15"/>
  <c r="E32" i="15" s="1"/>
  <c r="B6" i="15"/>
  <c r="B9" i="11"/>
  <c r="D49" i="18" l="1"/>
  <c r="D43" i="18"/>
  <c r="D36" i="18"/>
  <c r="D42" i="18"/>
  <c r="C44" i="18"/>
  <c r="B48" i="18"/>
  <c r="D48" i="18"/>
  <c r="B44" i="15"/>
  <c r="B8" i="15"/>
  <c r="D44" i="18" l="1"/>
  <c r="E44" i="18" s="1"/>
  <c r="E45" i="18" s="1"/>
  <c r="E49" i="18"/>
  <c r="E50" i="18" s="1"/>
  <c r="D37" i="15"/>
  <c r="D38" i="15"/>
  <c r="D36" i="15"/>
  <c r="D43" i="15"/>
  <c r="B7" i="15"/>
  <c r="C35" i="15" s="1"/>
  <c r="D45" i="18" l="1"/>
  <c r="D49" i="15"/>
  <c r="D42" i="15"/>
  <c r="D48" i="15"/>
  <c r="D39" i="15"/>
  <c r="D41" i="15"/>
  <c r="C44" i="15"/>
  <c r="B48" i="15"/>
  <c r="E49" i="15" l="1"/>
  <c r="E50" i="15" s="1"/>
  <c r="D44" i="15"/>
  <c r="E44" i="15" l="1"/>
  <c r="E45" i="15" s="1"/>
  <c r="D45" i="15"/>
</calcChain>
</file>

<file path=xl/sharedStrings.xml><?xml version="1.0" encoding="utf-8"?>
<sst xmlns="http://schemas.openxmlformats.org/spreadsheetml/2006/main" count="153" uniqueCount="78">
  <si>
    <t>AIP</t>
  </si>
  <si>
    <t>Switchkosten</t>
  </si>
  <si>
    <t>Aantal patienten dat behandeld wordt met adalimumab op 1-1-2019</t>
  </si>
  <si>
    <t>Toelichting</t>
  </si>
  <si>
    <t>Gemiddeld gebruik adalimumab per patient/jaar (mg)</t>
  </si>
  <si>
    <t>Gemiddeld gebruik adalimumab per patient/maand (mg)</t>
  </si>
  <si>
    <t>Adalimumab: prijs/mg</t>
  </si>
  <si>
    <t>Overname van voorblad</t>
  </si>
  <si>
    <t xml:space="preserve">Kosten per patient voor infrastructuur voor een geslaagde switch </t>
  </si>
  <si>
    <t>In te vullen per scenario</t>
  </si>
  <si>
    <t>Biosimilar</t>
  </si>
  <si>
    <t>Kosten tot aan switch</t>
  </si>
  <si>
    <t>Kosten voor switchers gedurende switch</t>
  </si>
  <si>
    <t>Kosten voor switchers na switch</t>
  </si>
  <si>
    <t>Totaal</t>
  </si>
  <si>
    <t>Opbrengst switch</t>
  </si>
  <si>
    <t>Disclaimer</t>
  </si>
  <si>
    <t>Wij hebben de grootst mogelijke zorg besteed aan deze uitgave. 
Aan de inhoud hiervan kunnen echter geen rechten worden ontleend. 
Het Instituut voor Verantwoord Medicijngebruik is niet aansprakelijk voor 
directe of indirecte schade die het gevolg is van het gebruik van de 
informatie die door middel van deze uitgave is verkregen. 
Niets uit deze uitgave mag worden gebruikt zonder vooraf verkregen toestemming.</t>
  </si>
  <si>
    <t>In dit rekenmodel kunt u verschillende scenario's doorrekenen, om u te helpen bij de keuze voor een biosimilar of originator.</t>
  </si>
  <si>
    <t>Dit model is alleen geschikt voor situaties waarin er geen verschil is in toedienvorm of frequentie tussen biosimilar en originator.</t>
  </si>
  <si>
    <t>Op het voorblad vult u gegevens in over het verbruik van een geneesmiddel in het afgelopen jaar en de huidige korting die u ontvangt.</t>
  </si>
  <si>
    <t xml:space="preserve">U hoeft alleen de oranje vlakken in te vullen, de andere vlakken worden vanzelf berekend. </t>
  </si>
  <si>
    <t>Controleert u ook de vooringevulde, blauwe vlakken of deze nog actueel zijn. Deze vlakken zijn ingevuld met de prijzen van 29 september 2018.</t>
  </si>
  <si>
    <t>1. Het ziekenhuis blijft bij de oude leverancier van het product</t>
  </si>
  <si>
    <t>2. het ziekenhuis stapt over op een andere leverancier.</t>
  </si>
  <si>
    <t>Vul op dit blad opnieuw de oranje vlakken in. De andere vlakken worden berekend, of overgenomen van het voorblad.</t>
  </si>
  <si>
    <t>Het model werkt met het aantal gebruikte mg adalimumab. Indien gewenst kunt u dit vervangen door het aantal gebruikte stuks. Pas dan wel de inkoopprijs aan op het voorblad.</t>
  </si>
  <si>
    <t>Einddatum switchperiode</t>
  </si>
  <si>
    <t>Denk hierbij aan het maken van voorlichtingsmateriaal en extra tijd voor voorlichting in de spreekkamer/apotheek, omgerekend naar kosten per patiënt</t>
  </si>
  <si>
    <t>geen switch</t>
  </si>
  <si>
    <t>wel switch</t>
  </si>
  <si>
    <t>Originator</t>
  </si>
  <si>
    <t>Gebruiksaanwijzing</t>
  </si>
  <si>
    <t>Voorblad</t>
  </si>
  <si>
    <t>Scenario's</t>
  </si>
  <si>
    <t>Aannames</t>
  </si>
  <si>
    <t>Het model gaat uit van een statische patiëntenpopulatie, waarbij in- en uitstroom van gebruikers gelijk zijn.</t>
  </si>
  <si>
    <t>U bepaalt de switchperiode als volgt:</t>
  </si>
  <si>
    <t>Wanneer alle patiënten in een korte periode switchen naar een biosimilar, vul dan de maand van de switchcampagne in bij startmaand en eindmaand van switch.</t>
  </si>
  <si>
    <t>Wanneer de switch meer geleidelijk verloopt, bijvoorbeeld per specialisme, geef dan de periode van switchen aan.</t>
  </si>
  <si>
    <t>In het rekenmodel is alleen rekening gehouden met de directe geneesmiddelkosten, en niet met factoren als spillage en handelingskosten.</t>
  </si>
  <si>
    <t>Aantal mg adalimumab op jaarbasis</t>
  </si>
  <si>
    <t>U kunt deze informatie vinden op inkoopfacturen van 2018</t>
  </si>
  <si>
    <t>Uitgaande van een dosering van 40mg eens per weken.
Normale doseringen (FK): meestal 40mg/2 weken; kinderen 20 mg/2 weken; bij ernstige ziekte evt verhogen tot 40 mg/week</t>
  </si>
  <si>
    <t>Op basis van de AIP van Humira van 29 september 2018, exclusief BTW</t>
  </si>
  <si>
    <t>De AIP (lijstprijs) van originator en biosimilar zijn gelijk.</t>
  </si>
  <si>
    <t xml:space="preserve">Scenario </t>
  </si>
  <si>
    <t>Ontvangen korting Humira tot aan eventuele overstap (%)</t>
  </si>
  <si>
    <t>Startdatum van switch</t>
  </si>
  <si>
    <t>Laatste dag switchjaar+1</t>
  </si>
  <si>
    <t>Eerste dag switchjaar</t>
  </si>
  <si>
    <t>Aantal maanden tot switch</t>
  </si>
  <si>
    <t>Aantal maanden gedurende switch</t>
  </si>
  <si>
    <t>Aantal maanden na switch</t>
  </si>
  <si>
    <t>Percentage van de bestaande Humirapatienten dat switcht</t>
  </si>
  <si>
    <t>Korting biosimilar (%)</t>
  </si>
  <si>
    <t>Geboden korting wanneer Humira preferent is (%)</t>
  </si>
  <si>
    <t>Geboden korting wanneer Humira niet preferent is (%)</t>
  </si>
  <si>
    <t>Kosten voor NIET-switchers gedurende switch</t>
  </si>
  <si>
    <t>Kosten niet-switchers na switch</t>
  </si>
  <si>
    <t>met korting</t>
  </si>
  <si>
    <t>gemiddeld per jaar (over 2 jaar)</t>
  </si>
  <si>
    <t>per jaar</t>
  </si>
  <si>
    <t>besparing t.o.v. uitgangssituatie</t>
  </si>
  <si>
    <t>Kosten vóór switch (per jaar)</t>
  </si>
  <si>
    <t>Aantal milligram adalimumab voor 2019</t>
  </si>
  <si>
    <t>Kosten na switchjaren (per jaar)</t>
  </si>
  <si>
    <t>Let op: dit is een fictief voorbeeld!</t>
  </si>
  <si>
    <t>Rekenmodel adalimumab</t>
  </si>
  <si>
    <t>Het model gaat uit van een omzetting in de vorm van een campagne. Tijdens deze campagne starten alle patiënten die instemmen met switchen met een biosimilar.</t>
  </si>
  <si>
    <t xml:space="preserve">Na de switchperiode is er geen actieve switch meer. De daling van het aantal gebruikers van originator door natuurlijk verloop wordt niet meegerekend. </t>
  </si>
  <si>
    <t xml:space="preserve">Ter verduidelijking is een fictief voorbeeld toegevoegd. Alle getallen op dit blad zijn fictief. </t>
  </si>
  <si>
    <t xml:space="preserve">Dit rekenmodel is ontwikkeld als onderdeel van het programma " Implementatie Biosimilars op Maat in ziekenhuizen" (BOM), uitgevoerd door het Instituut Verantwoord Medicijngebruik en Initiatiefgroep Biosimilars Nederland en gefinancierd door het Ministerie van VWS. </t>
  </si>
  <si>
    <t>Dit rekenmodel is gebaseerd op het model van en doorontwikkeld met medewerking van Gelre Ziekenhuizen.</t>
  </si>
  <si>
    <t>Het model is ontwikkeld voor het product adalimumab. U kunt het model ook gebruiken voor andere omzettingen. Controleer dan wel goed alle aannames.</t>
  </si>
  <si>
    <t xml:space="preserve">Vervolgens gebruikt u het blad 'scenario blanco'. Een scenario vergelijkt steeds de geneesmiddelkosten in twee situaties: </t>
  </si>
  <si>
    <t>Percentage patienten dat behandeld blijft met Humira</t>
  </si>
  <si>
    <t xml:space="preserve">Het is in dit model niet mogelijk te rekenen met een switchperiode van langer dan 1 jaar.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</si>
</sst>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5" formatCode="&quot;€&quot;\ #,##0;&quot;€&quot;\ \-#,##0"/>
    <numFmt numFmtId="44" formatCode="_ &quot;€&quot;\ * #,##0.00_ ;_ &quot;€&quot;\ * \-#,##0.00_ ;_ &quot;€&quot;\ * &quot;-&quot;??_ ;_ @_ "/>
    <numFmt numFmtId="164" formatCode="&quot;€&quot;\ #,##0"/>
    <numFmt numFmtId="165" formatCode="_ &quot;€&quot;\ * #,##0_ ;_ &quot;€&quot;\ * \-#,##0_ ;_ &quot;€&quot;\ * &quot;-&quot;??_ ;_ @_ "/>
  </numFmts>
  <fonts count="19" x14ac:knownFonts="1">
    <font>
      <sz val="10"/>
      <color theme="1"/>
      <name val="Arial"/>
      <family val="2"/>
    </font>
    <font>
      <sz val="11"/>
      <color theme="1"/>
      <name val="Calibri"/>
      <family val="2"/>
      <scheme val="minor"/>
    </font>
    <font>
      <sz val="10"/>
      <color theme="1"/>
      <name val="Arial"/>
      <family val="2"/>
    </font>
    <font>
      <sz val="11"/>
      <color theme="1"/>
      <name val="Calibri"/>
      <family val="2"/>
      <scheme val="minor"/>
    </font>
    <font>
      <sz val="10"/>
      <color rgb="FFFF0000"/>
      <name val="Arial"/>
      <family val="2"/>
    </font>
    <font>
      <sz val="10"/>
      <name val="Arial"/>
      <family val="2"/>
    </font>
    <font>
      <b/>
      <sz val="10"/>
      <color theme="1"/>
      <name val="Arial"/>
      <family val="2"/>
    </font>
    <font>
      <b/>
      <sz val="10"/>
      <name val="Arial"/>
      <family val="2"/>
    </font>
    <font>
      <b/>
      <sz val="14"/>
      <color theme="1"/>
      <name val="Arial"/>
      <family val="2"/>
    </font>
    <font>
      <b/>
      <sz val="10"/>
      <color rgb="FFFF0000"/>
      <name val="Arial"/>
      <family val="2"/>
    </font>
    <font>
      <sz val="10"/>
      <color theme="1"/>
      <name val="Arial Unicode MS"/>
      <family val="2"/>
    </font>
    <font>
      <b/>
      <sz val="10"/>
      <color theme="0"/>
      <name val="Arial"/>
      <family val="2"/>
    </font>
    <font>
      <b/>
      <sz val="14"/>
      <color theme="0"/>
      <name val="Arial"/>
      <family val="2"/>
    </font>
    <font>
      <sz val="11"/>
      <color rgb="FFFF0000"/>
      <name val="Calibri"/>
      <family val="2"/>
      <scheme val="minor"/>
    </font>
    <font>
      <sz val="8"/>
      <color rgb="FF006600"/>
      <name val="Arial"/>
      <family val="2"/>
    </font>
    <font>
      <sz val="11"/>
      <color rgb="FF006600"/>
      <name val="Calibri"/>
      <family val="2"/>
      <scheme val="minor"/>
    </font>
    <font>
      <sz val="11"/>
      <name val="Calibri"/>
      <family val="2"/>
      <scheme val="minor"/>
    </font>
    <font>
      <sz val="8"/>
      <color rgb="FFFF0000"/>
      <name val="Arial"/>
      <family val="2"/>
    </font>
    <font>
      <b/>
      <sz val="10"/>
      <color rgb="FF006600"/>
      <name val="Arial"/>
      <family val="2"/>
    </font>
  </fonts>
  <fills count="16">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8" tint="0.79998168889431442"/>
        <bgColor indexed="64"/>
      </patternFill>
    </fill>
    <fill>
      <patternFill patternType="solid">
        <fgColor rgb="FFFF9933"/>
        <bgColor indexed="64"/>
      </patternFill>
    </fill>
    <fill>
      <patternFill patternType="solid">
        <fgColor rgb="FF9900CC"/>
        <bgColor indexed="64"/>
      </patternFill>
    </fill>
    <fill>
      <patternFill patternType="solid">
        <fgColor rgb="FFFFC775"/>
        <bgColor indexed="64"/>
      </patternFill>
    </fill>
    <fill>
      <patternFill patternType="solid">
        <fgColor rgb="FFE69FFF"/>
        <bgColor indexed="64"/>
      </patternFill>
    </fill>
    <fill>
      <patternFill patternType="solid">
        <fgColor rgb="FFFF9393"/>
        <bgColor indexed="64"/>
      </patternFill>
    </fill>
    <fill>
      <patternFill patternType="solid">
        <fgColor rgb="FFFFE4BD"/>
        <bgColor indexed="64"/>
      </patternFill>
    </fill>
    <fill>
      <patternFill patternType="solid">
        <fgColor rgb="FFF8E5FF"/>
        <bgColor indexed="64"/>
      </patternFill>
    </fill>
    <fill>
      <patternFill patternType="solid">
        <fgColor rgb="FFFFD5D5"/>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9" fontId="2" fillId="0" borderId="0" applyFont="0" applyFill="0" applyBorder="0" applyAlignment="0" applyProtection="0"/>
    <xf numFmtId="0" fontId="3" fillId="0" borderId="0"/>
    <xf numFmtId="9" fontId="3" fillId="0" borderId="0" applyFont="0" applyFill="0" applyBorder="0" applyAlignment="0" applyProtection="0"/>
    <xf numFmtId="44" fontId="2" fillId="0" borderId="0" applyFont="0" applyFill="0" applyBorder="0" applyAlignment="0" applyProtection="0"/>
  </cellStyleXfs>
  <cellXfs count="114">
    <xf numFmtId="0" fontId="0" fillId="0" borderId="0" xfId="0"/>
    <xf numFmtId="0" fontId="0" fillId="0" borderId="0" xfId="0" applyBorder="1"/>
    <xf numFmtId="0" fontId="4" fillId="0" borderId="0" xfId="0" applyFont="1"/>
    <xf numFmtId="0" fontId="0" fillId="0" borderId="9" xfId="0" applyBorder="1"/>
    <xf numFmtId="0" fontId="0" fillId="0" borderId="0" xfId="0" applyFill="1" applyBorder="1" applyAlignment="1" applyProtection="1">
      <alignment horizontal="center" vertical="center"/>
    </xf>
    <xf numFmtId="9" fontId="4" fillId="0"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6" fillId="0" borderId="0" xfId="0" applyFont="1"/>
    <xf numFmtId="0" fontId="6" fillId="0" borderId="0" xfId="0" applyFont="1" applyFill="1" applyBorder="1" applyAlignment="1" applyProtection="1">
      <alignment horizontal="center" vertical="center"/>
    </xf>
    <xf numFmtId="0" fontId="0" fillId="0" borderId="0" xfId="0" applyAlignment="1">
      <alignment wrapText="1"/>
    </xf>
    <xf numFmtId="0" fontId="0" fillId="4" borderId="11" xfId="0" applyFill="1" applyBorder="1" applyAlignment="1" applyProtection="1">
      <alignment horizontal="center" vertical="center"/>
    </xf>
    <xf numFmtId="2" fontId="3" fillId="4" borderId="11" xfId="2" applyNumberFormat="1" applyFill="1" applyBorder="1" applyAlignment="1" applyProtection="1">
      <alignment horizontal="center" vertical="center"/>
    </xf>
    <xf numFmtId="3" fontId="0" fillId="5" borderId="11" xfId="0" applyNumberFormat="1" applyFill="1" applyBorder="1" applyAlignment="1" applyProtection="1">
      <alignment horizontal="center" vertical="center"/>
    </xf>
    <xf numFmtId="1" fontId="3" fillId="5" borderId="11" xfId="2" applyNumberFormat="1" applyFill="1" applyBorder="1" applyAlignment="1" applyProtection="1">
      <alignment horizontal="center" vertical="center"/>
    </xf>
    <xf numFmtId="44" fontId="3" fillId="5" borderId="11" xfId="4" applyFont="1" applyFill="1" applyBorder="1" applyAlignment="1" applyProtection="1">
      <alignment horizontal="center" vertical="center"/>
    </xf>
    <xf numFmtId="9" fontId="3" fillId="5" borderId="11" xfId="1" applyFont="1" applyFill="1" applyBorder="1" applyAlignment="1" applyProtection="1">
      <alignment horizontal="center" vertical="center"/>
    </xf>
    <xf numFmtId="44" fontId="0" fillId="3" borderId="11" xfId="4" applyFont="1" applyFill="1" applyBorder="1" applyAlignment="1" applyProtection="1">
      <alignment horizontal="center" vertical="center"/>
      <protection locked="0"/>
    </xf>
    <xf numFmtId="0" fontId="8" fillId="0" borderId="0" xfId="0" applyFont="1"/>
    <xf numFmtId="0" fontId="6" fillId="0" borderId="0" xfId="0" applyFont="1" applyBorder="1"/>
    <xf numFmtId="0" fontId="9" fillId="0" borderId="0" xfId="0" applyFont="1"/>
    <xf numFmtId="2" fontId="0" fillId="4" borderId="11" xfId="0" applyNumberFormat="1" applyFill="1" applyBorder="1" applyAlignment="1" applyProtection="1">
      <alignment horizontal="center" vertical="center"/>
    </xf>
    <xf numFmtId="0" fontId="6" fillId="0" borderId="0" xfId="0" applyFont="1" applyAlignment="1">
      <alignment wrapText="1"/>
    </xf>
    <xf numFmtId="0" fontId="4" fillId="0" borderId="0" xfId="0" applyFont="1" applyAlignment="1">
      <alignment wrapText="1"/>
    </xf>
    <xf numFmtId="0" fontId="0" fillId="0" borderId="0" xfId="0" applyAlignment="1">
      <alignment vertical="center" wrapText="1"/>
    </xf>
    <xf numFmtId="14" fontId="3" fillId="4" borderId="11" xfId="1" applyNumberFormat="1" applyFont="1" applyFill="1" applyBorder="1" applyAlignment="1" applyProtection="1">
      <alignment horizontal="center" vertical="center"/>
    </xf>
    <xf numFmtId="2" fontId="3" fillId="7" borderId="11" xfId="1" applyNumberFormat="1" applyFont="1" applyFill="1" applyBorder="1" applyAlignment="1" applyProtection="1">
      <alignment horizontal="center" vertical="center"/>
    </xf>
    <xf numFmtId="165" fontId="3" fillId="13" borderId="7" xfId="2" applyNumberFormat="1" applyFont="1" applyFill="1" applyBorder="1" applyAlignment="1" applyProtection="1">
      <alignment horizontal="right" indent="1"/>
    </xf>
    <xf numFmtId="165" fontId="3" fillId="13" borderId="0" xfId="2" applyNumberFormat="1" applyFont="1" applyFill="1" applyBorder="1" applyAlignment="1" applyProtection="1">
      <alignment horizontal="right"/>
    </xf>
    <xf numFmtId="164" fontId="3" fillId="13" borderId="8" xfId="2" applyNumberFormat="1" applyFill="1" applyBorder="1" applyAlignment="1" applyProtection="1">
      <alignment horizontal="right" indent="1"/>
    </xf>
    <xf numFmtId="165" fontId="3" fillId="13" borderId="0" xfId="2" applyNumberFormat="1" applyFont="1" applyFill="1" applyBorder="1" applyAlignment="1" applyProtection="1">
      <alignment horizontal="right" indent="1"/>
    </xf>
    <xf numFmtId="164" fontId="13" fillId="13" borderId="2" xfId="2" applyNumberFormat="1" applyFont="1" applyFill="1" applyBorder="1" applyAlignment="1" applyProtection="1">
      <alignment horizontal="right" indent="1"/>
    </xf>
    <xf numFmtId="165" fontId="3" fillId="13" borderId="1" xfId="2" applyNumberFormat="1" applyFont="1" applyFill="1" applyBorder="1" applyAlignment="1" applyProtection="1">
      <alignment horizontal="right" indent="1"/>
    </xf>
    <xf numFmtId="165" fontId="3" fillId="13" borderId="1" xfId="2" applyNumberFormat="1" applyFont="1" applyFill="1" applyBorder="1" applyAlignment="1" applyProtection="1">
      <alignment horizontal="right"/>
    </xf>
    <xf numFmtId="164" fontId="13" fillId="13" borderId="5" xfId="2" applyNumberFormat="1" applyFont="1" applyFill="1" applyBorder="1" applyAlignment="1" applyProtection="1">
      <alignment horizontal="right" indent="1"/>
    </xf>
    <xf numFmtId="164" fontId="3" fillId="13" borderId="7" xfId="2" applyNumberFormat="1" applyFont="1" applyFill="1" applyBorder="1" applyAlignment="1" applyProtection="1">
      <alignment horizontal="right" indent="1"/>
    </xf>
    <xf numFmtId="164" fontId="3" fillId="13" borderId="7" xfId="2" applyNumberFormat="1" applyFont="1" applyFill="1" applyBorder="1" applyAlignment="1" applyProtection="1">
      <alignment horizontal="right"/>
    </xf>
    <xf numFmtId="164" fontId="3" fillId="13" borderId="0" xfId="2" applyNumberFormat="1" applyFont="1" applyFill="1" applyBorder="1" applyAlignment="1" applyProtection="1">
      <alignment horizontal="right" indent="1"/>
    </xf>
    <xf numFmtId="164" fontId="3" fillId="13" borderId="0" xfId="2" applyNumberFormat="1" applyFont="1" applyFill="1" applyBorder="1" applyAlignment="1" applyProtection="1">
      <alignment horizontal="right"/>
    </xf>
    <xf numFmtId="164" fontId="15" fillId="13" borderId="2" xfId="2" applyNumberFormat="1" applyFont="1" applyFill="1" applyBorder="1" applyAlignment="1" applyProtection="1">
      <alignment horizontal="right" indent="1"/>
    </xf>
    <xf numFmtId="164" fontId="15" fillId="13" borderId="5" xfId="2" applyNumberFormat="1" applyFont="1" applyFill="1" applyBorder="1" applyAlignment="1" applyProtection="1">
      <alignment horizontal="right" indent="1"/>
    </xf>
    <xf numFmtId="164" fontId="3" fillId="13" borderId="11" xfId="2" applyNumberFormat="1" applyFill="1" applyBorder="1" applyAlignment="1" applyProtection="1">
      <alignment horizontal="right" indent="1"/>
    </xf>
    <xf numFmtId="164" fontId="3" fillId="14" borderId="7" xfId="2" applyNumberFormat="1" applyFont="1" applyFill="1" applyBorder="1" applyAlignment="1" applyProtection="1">
      <alignment horizontal="right" indent="1"/>
    </xf>
    <xf numFmtId="164" fontId="3" fillId="14" borderId="7" xfId="2" applyNumberFormat="1" applyFont="1" applyFill="1" applyBorder="1" applyAlignment="1" applyProtection="1">
      <alignment horizontal="right"/>
    </xf>
    <xf numFmtId="164" fontId="3" fillId="14" borderId="8" xfId="2" applyNumberFormat="1" applyFont="1" applyFill="1" applyBorder="1" applyAlignment="1" applyProtection="1">
      <alignment horizontal="right" indent="1"/>
    </xf>
    <xf numFmtId="165" fontId="3" fillId="15" borderId="7" xfId="2" applyNumberFormat="1" applyFont="1" applyFill="1" applyBorder="1" applyAlignment="1" applyProtection="1">
      <alignment horizontal="right" indent="1"/>
    </xf>
    <xf numFmtId="2" fontId="3" fillId="5" borderId="11" xfId="2" applyNumberFormat="1" applyFill="1" applyBorder="1" applyAlignment="1" applyProtection="1">
      <alignment horizontal="center" vertical="center"/>
    </xf>
    <xf numFmtId="164" fontId="3" fillId="14" borderId="10" xfId="2" applyNumberFormat="1" applyFont="1" applyFill="1" applyBorder="1" applyAlignment="1" applyProtection="1">
      <alignment horizontal="right" indent="1"/>
    </xf>
    <xf numFmtId="164" fontId="3" fillId="14" borderId="10" xfId="2" applyNumberFormat="1" applyFont="1" applyFill="1" applyBorder="1" applyAlignment="1" applyProtection="1">
      <alignment horizontal="right"/>
    </xf>
    <xf numFmtId="164" fontId="15" fillId="14" borderId="11" xfId="2" applyNumberFormat="1" applyFont="1" applyFill="1" applyBorder="1" applyAlignment="1" applyProtection="1">
      <alignment horizontal="right" indent="1"/>
    </xf>
    <xf numFmtId="0" fontId="6" fillId="0" borderId="0" xfId="0" applyFont="1" applyProtection="1"/>
    <xf numFmtId="0" fontId="0" fillId="0" borderId="0" xfId="0" applyBorder="1" applyProtection="1"/>
    <xf numFmtId="0" fontId="0" fillId="0" borderId="0" xfId="0" applyAlignment="1" applyProtection="1"/>
    <xf numFmtId="0" fontId="0" fillId="0" borderId="0" xfId="0" applyProtection="1"/>
    <xf numFmtId="0" fontId="4" fillId="0" borderId="0" xfId="0" applyFont="1" applyProtection="1"/>
    <xf numFmtId="0" fontId="0" fillId="0" borderId="9" xfId="0" applyBorder="1" applyProtection="1"/>
    <xf numFmtId="14" fontId="0" fillId="0" borderId="0" xfId="0" applyNumberFormat="1" applyProtection="1"/>
    <xf numFmtId="44" fontId="0" fillId="0" borderId="0" xfId="0" applyNumberFormat="1" applyProtection="1"/>
    <xf numFmtId="0" fontId="5" fillId="0" borderId="9" xfId="0" applyFont="1" applyBorder="1" applyProtection="1"/>
    <xf numFmtId="0" fontId="0" fillId="0" borderId="9" xfId="0" applyBorder="1" applyAlignment="1" applyProtection="1">
      <alignment wrapText="1"/>
    </xf>
    <xf numFmtId="0" fontId="0" fillId="4" borderId="9" xfId="0" applyFill="1" applyBorder="1" applyProtection="1"/>
    <xf numFmtId="0" fontId="10" fillId="0" borderId="0" xfId="0" applyFont="1" applyProtection="1"/>
    <xf numFmtId="0" fontId="0" fillId="7" borderId="9" xfId="0" applyFill="1" applyBorder="1" applyProtection="1"/>
    <xf numFmtId="0" fontId="0" fillId="0" borderId="0" xfId="0" applyBorder="1" applyAlignment="1" applyProtection="1">
      <alignment wrapText="1"/>
    </xf>
    <xf numFmtId="0" fontId="12" fillId="0" borderId="0" xfId="0" applyFont="1" applyFill="1" applyAlignment="1" applyProtection="1">
      <alignment horizontal="center" vertical="center"/>
    </xf>
    <xf numFmtId="0" fontId="0" fillId="0" borderId="0" xfId="0" applyFill="1" applyProtection="1"/>
    <xf numFmtId="0" fontId="11" fillId="6" borderId="0" xfId="0" applyFont="1" applyFill="1" applyAlignment="1" applyProtection="1">
      <alignment horizontal="left" vertical="top"/>
    </xf>
    <xf numFmtId="0" fontId="0" fillId="12" borderId="10" xfId="0" applyFill="1" applyBorder="1" applyAlignment="1" applyProtection="1">
      <alignment horizontal="center" vertical="center"/>
    </xf>
    <xf numFmtId="0" fontId="0" fillId="12" borderId="11" xfId="0" applyFill="1" applyBorder="1" applyAlignment="1" applyProtection="1">
      <alignment horizontal="center" vertical="center"/>
    </xf>
    <xf numFmtId="0" fontId="9" fillId="0" borderId="6" xfId="0" applyFont="1" applyFill="1" applyBorder="1" applyProtection="1"/>
    <xf numFmtId="0" fontId="12" fillId="15" borderId="0" xfId="0" applyFont="1" applyFill="1" applyAlignment="1" applyProtection="1">
      <alignment horizontal="center" vertical="center"/>
    </xf>
    <xf numFmtId="165" fontId="16" fillId="15" borderId="0" xfId="0" applyNumberFormat="1" applyFont="1" applyFill="1" applyAlignment="1" applyProtection="1">
      <alignment horizontal="center" vertical="center"/>
    </xf>
    <xf numFmtId="164" fontId="0" fillId="0" borderId="0" xfId="0" applyNumberFormat="1" applyProtection="1"/>
    <xf numFmtId="0" fontId="5" fillId="0" borderId="0" xfId="0" applyFont="1" applyProtection="1"/>
    <xf numFmtId="0" fontId="7" fillId="8" borderId="9" xfId="0" applyFont="1" applyFill="1" applyBorder="1" applyAlignment="1" applyProtection="1">
      <alignment horizontal="left" vertical="top"/>
    </xf>
    <xf numFmtId="0" fontId="0" fillId="10" borderId="10" xfId="0" applyFill="1" applyBorder="1" applyAlignment="1" applyProtection="1">
      <alignment horizontal="center" vertical="center"/>
    </xf>
    <xf numFmtId="0" fontId="0" fillId="10" borderId="11" xfId="0" applyFill="1" applyBorder="1" applyAlignment="1" applyProtection="1">
      <alignment horizontal="center" vertical="center"/>
    </xf>
    <xf numFmtId="0" fontId="17" fillId="0" borderId="3" xfId="0" applyFont="1" applyFill="1" applyBorder="1" applyAlignment="1" applyProtection="1">
      <alignment horizontal="right"/>
    </xf>
    <xf numFmtId="0" fontId="17" fillId="0" borderId="4" xfId="0" applyFont="1" applyFill="1" applyBorder="1" applyAlignment="1" applyProtection="1">
      <alignment horizontal="right"/>
    </xf>
    <xf numFmtId="0" fontId="18" fillId="0" borderId="6" xfId="0" applyFont="1" applyFill="1" applyBorder="1" applyProtection="1"/>
    <xf numFmtId="0" fontId="14" fillId="0" borderId="3" xfId="0" applyFont="1" applyFill="1" applyBorder="1" applyAlignment="1" applyProtection="1">
      <alignment horizontal="right"/>
    </xf>
    <xf numFmtId="0" fontId="14" fillId="0" borderId="4" xfId="0" applyFont="1" applyFill="1" applyBorder="1" applyAlignment="1" applyProtection="1">
      <alignment horizontal="right"/>
    </xf>
    <xf numFmtId="164" fontId="0" fillId="13" borderId="1" xfId="0" applyNumberFormat="1" applyFill="1" applyBorder="1" applyAlignment="1" applyProtection="1">
      <alignment horizontal="right" indent="1"/>
    </xf>
    <xf numFmtId="164" fontId="0" fillId="13" borderId="1" xfId="0" applyNumberFormat="1" applyFill="1" applyBorder="1" applyAlignment="1" applyProtection="1">
      <alignment horizontal="right"/>
    </xf>
    <xf numFmtId="0" fontId="0" fillId="0" borderId="9" xfId="0" applyFill="1" applyBorder="1" applyProtection="1"/>
    <xf numFmtId="164" fontId="0" fillId="13" borderId="10" xfId="0" applyNumberFormat="1" applyFill="1" applyBorder="1" applyAlignment="1" applyProtection="1">
      <alignment horizontal="right" indent="1"/>
    </xf>
    <xf numFmtId="164" fontId="0" fillId="13" borderId="10" xfId="0" applyNumberFormat="1" applyFill="1" applyBorder="1" applyAlignment="1" applyProtection="1">
      <alignment horizontal="right"/>
    </xf>
    <xf numFmtId="0" fontId="0" fillId="0" borderId="6" xfId="0" applyFill="1" applyBorder="1" applyProtection="1"/>
    <xf numFmtId="164" fontId="0" fillId="13" borderId="7" xfId="0" applyNumberFormat="1" applyFill="1" applyBorder="1" applyAlignment="1" applyProtection="1">
      <alignment horizontal="right" indent="1"/>
    </xf>
    <xf numFmtId="164" fontId="0" fillId="13" borderId="7" xfId="0" applyNumberFormat="1" applyFill="1" applyBorder="1" applyAlignment="1" applyProtection="1">
      <alignment horizontal="right"/>
    </xf>
    <xf numFmtId="164" fontId="0" fillId="13" borderId="8" xfId="0" applyNumberFormat="1" applyFill="1" applyBorder="1" applyAlignment="1" applyProtection="1">
      <alignment horizontal="right" indent="1"/>
    </xf>
    <xf numFmtId="0" fontId="0" fillId="0" borderId="4" xfId="0" applyFill="1" applyBorder="1" applyProtection="1"/>
    <xf numFmtId="0" fontId="0" fillId="13" borderId="1" xfId="0" applyFill="1" applyBorder="1" applyProtection="1"/>
    <xf numFmtId="0" fontId="0" fillId="13" borderId="1" xfId="0" applyFill="1" applyBorder="1" applyAlignment="1" applyProtection="1"/>
    <xf numFmtId="5" fontId="5" fillId="13" borderId="5" xfId="0" applyNumberFormat="1" applyFont="1" applyFill="1" applyBorder="1" applyAlignment="1" applyProtection="1">
      <alignment horizontal="right" indent="1"/>
    </xf>
    <xf numFmtId="0" fontId="0" fillId="0" borderId="0" xfId="0" applyFill="1" applyBorder="1" applyProtection="1"/>
    <xf numFmtId="0" fontId="0" fillId="0" borderId="0" xfId="0" applyFill="1" applyBorder="1" applyAlignment="1" applyProtection="1"/>
    <xf numFmtId="0" fontId="11" fillId="9" borderId="9" xfId="0" applyFont="1" applyFill="1" applyBorder="1" applyAlignment="1" applyProtection="1">
      <alignment horizontal="left" vertical="top"/>
    </xf>
    <xf numFmtId="0" fontId="0" fillId="11" borderId="10" xfId="0" applyFill="1" applyBorder="1" applyAlignment="1" applyProtection="1">
      <alignment horizontal="center" vertical="center"/>
    </xf>
    <xf numFmtId="0" fontId="0" fillId="11" borderId="11" xfId="0" applyFill="1" applyBorder="1" applyAlignment="1" applyProtection="1">
      <alignment horizontal="center" vertical="center"/>
    </xf>
    <xf numFmtId="0" fontId="18" fillId="0" borderId="9" xfId="0" applyFont="1" applyFill="1" applyBorder="1" applyProtection="1"/>
    <xf numFmtId="9" fontId="3" fillId="3" borderId="11" xfId="1" applyFont="1" applyFill="1" applyBorder="1" applyAlignment="1" applyProtection="1">
      <alignment horizontal="center" vertical="center"/>
      <protection locked="0"/>
    </xf>
    <xf numFmtId="14" fontId="3" fillId="3" borderId="11" xfId="1" applyNumberFormat="1" applyFont="1" applyFill="1" applyBorder="1" applyAlignment="1" applyProtection="1">
      <alignment horizontal="center" vertical="center"/>
      <protection locked="0"/>
    </xf>
    <xf numFmtId="14" fontId="1" fillId="3" borderId="11" xfId="1" applyNumberFormat="1" applyFont="1" applyFill="1" applyBorder="1" applyAlignment="1" applyProtection="1">
      <alignment horizontal="center" vertical="center"/>
      <protection locked="0"/>
    </xf>
    <xf numFmtId="9" fontId="0" fillId="3" borderId="11" xfId="0" applyNumberFormat="1" applyFill="1" applyBorder="1" applyAlignment="1" applyProtection="1">
      <alignment horizontal="center" vertical="center"/>
      <protection locked="0"/>
    </xf>
    <xf numFmtId="3" fontId="5" fillId="3" borderId="11" xfId="0" applyNumberFormat="1" applyFont="1" applyFill="1" applyBorder="1" applyAlignment="1" applyProtection="1">
      <alignment horizontal="center" vertical="center"/>
      <protection locked="0"/>
    </xf>
    <xf numFmtId="164" fontId="0" fillId="0" borderId="0" xfId="0" applyNumberFormat="1" applyFill="1" applyBorder="1" applyProtection="1"/>
    <xf numFmtId="164" fontId="0" fillId="0" borderId="0" xfId="0" applyNumberFormat="1" applyFill="1" applyBorder="1" applyAlignment="1" applyProtection="1"/>
    <xf numFmtId="9" fontId="3" fillId="3" borderId="11" xfId="1" applyFont="1" applyFill="1" applyBorder="1" applyAlignment="1" applyProtection="1">
      <alignment horizontal="center" vertical="center"/>
    </xf>
    <xf numFmtId="9" fontId="0" fillId="3" borderId="11" xfId="0" applyNumberFormat="1" applyFill="1" applyBorder="1" applyAlignment="1" applyProtection="1">
      <alignment horizontal="center" vertical="center"/>
    </xf>
    <xf numFmtId="14" fontId="3" fillId="3" borderId="11" xfId="1" applyNumberFormat="1" applyFont="1" applyFill="1" applyBorder="1" applyAlignment="1" applyProtection="1">
      <alignment horizontal="center" vertical="center"/>
    </xf>
    <xf numFmtId="14" fontId="1" fillId="3" borderId="11" xfId="1" applyNumberFormat="1" applyFont="1" applyFill="1" applyBorder="1" applyAlignment="1" applyProtection="1">
      <alignment horizontal="center" vertical="center"/>
    </xf>
    <xf numFmtId="44" fontId="0" fillId="3" borderId="11" xfId="4" applyFont="1" applyFill="1" applyBorder="1" applyAlignment="1" applyProtection="1">
      <alignment horizontal="center" vertical="center"/>
    </xf>
  </cellXfs>
  <cellStyles count="5">
    <cellStyle name="Procent" xfId="1" builtinId="5"/>
    <cellStyle name="Procent 2" xfId="3"/>
    <cellStyle name="Standaard" xfId="0" builtinId="0"/>
    <cellStyle name="Standaard 2" xfId="2"/>
    <cellStyle name="Valuta" xfId="4" builtinId="4"/>
  </cellStyles>
  <dxfs count="12">
    <dxf>
      <font>
        <color theme="0"/>
      </font>
      <fill>
        <patternFill>
          <bgColor rgb="FF008000"/>
        </patternFill>
      </fill>
    </dxf>
    <dxf>
      <font>
        <color theme="0"/>
      </font>
      <fill>
        <patternFill>
          <bgColor rgb="FFFF0000"/>
        </patternFill>
      </fill>
    </dxf>
    <dxf>
      <font>
        <color theme="0"/>
      </font>
      <fill>
        <patternFill>
          <bgColor rgb="FF00800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
      <font>
        <color theme="0"/>
      </font>
      <fill>
        <patternFill>
          <bgColor rgb="FF008000"/>
        </patternFill>
      </fill>
    </dxf>
    <dxf>
      <font>
        <color theme="0"/>
      </font>
      <fill>
        <patternFill>
          <bgColor rgb="FFFF0000"/>
        </patternFill>
      </fill>
    </dxf>
    <dxf>
      <font>
        <color theme="0"/>
      </font>
      <fill>
        <patternFill>
          <bgColor rgb="FF00800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CCFFCC"/>
      <color rgb="FF008000"/>
      <color rgb="FF0000FF"/>
      <color rgb="FF006600"/>
      <color rgb="FFFFD5D5"/>
      <color rgb="FFFF9393"/>
      <color rgb="FFFFC775"/>
      <color rgb="FFF8E5FF"/>
      <color rgb="FFE69FFF"/>
      <color rgb="FFFFE4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3</xdr:col>
      <xdr:colOff>300756</xdr:colOff>
      <xdr:row>14</xdr:row>
      <xdr:rowOff>140740</xdr:rowOff>
    </xdr:from>
    <xdr:to>
      <xdr:col>7</xdr:col>
      <xdr:colOff>105544</xdr:colOff>
      <xdr:row>20</xdr:row>
      <xdr:rowOff>71718</xdr:rowOff>
    </xdr:to>
    <xdr:pic>
      <xdr:nvPicPr>
        <xdr:cNvPr id="18" name="Picture 17"/>
        <xdr:cNvPicPr>
          <a:picLocks noChangeAspect="1"/>
        </xdr:cNvPicPr>
      </xdr:nvPicPr>
      <xdr:blipFill rotWithShape="1">
        <a:blip xmlns:r="http://schemas.openxmlformats.org/officeDocument/2006/relationships" r:embed="rId1"/>
        <a:srcRect b="24971"/>
        <a:stretch/>
      </xdr:blipFill>
      <xdr:spPr>
        <a:xfrm>
          <a:off x="6576050" y="3672834"/>
          <a:ext cx="6922765" cy="1598413"/>
        </a:xfrm>
        <a:prstGeom prst="rect">
          <a:avLst/>
        </a:prstGeom>
      </xdr:spPr>
    </xdr:pic>
    <xdr:clientData/>
  </xdr:twoCellAnchor>
  <xdr:twoCellAnchor>
    <xdr:from>
      <xdr:col>4</xdr:col>
      <xdr:colOff>27214</xdr:colOff>
      <xdr:row>31</xdr:row>
      <xdr:rowOff>87086</xdr:rowOff>
    </xdr:from>
    <xdr:to>
      <xdr:col>4</xdr:col>
      <xdr:colOff>386443</xdr:colOff>
      <xdr:row>31</xdr:row>
      <xdr:rowOff>87086</xdr:rowOff>
    </xdr:to>
    <xdr:cxnSp macro="">
      <xdr:nvCxnSpPr>
        <xdr:cNvPr id="20" name="Straight Connector 19"/>
        <xdr:cNvCxnSpPr/>
      </xdr:nvCxnSpPr>
      <xdr:spPr>
        <a:xfrm>
          <a:off x="7053943" y="9334500"/>
          <a:ext cx="359229" cy="0"/>
        </a:xfrm>
        <a:prstGeom prst="line">
          <a:avLst/>
        </a:prstGeom>
        <a:ln w="15875">
          <a:solidFill>
            <a:srgbClr val="0000F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713014</xdr:colOff>
      <xdr:row>31</xdr:row>
      <xdr:rowOff>157843</xdr:rowOff>
    </xdr:from>
    <xdr:to>
      <xdr:col>4</xdr:col>
      <xdr:colOff>718457</xdr:colOff>
      <xdr:row>42</xdr:row>
      <xdr:rowOff>174171</xdr:rowOff>
    </xdr:to>
    <xdr:cxnSp macro="">
      <xdr:nvCxnSpPr>
        <xdr:cNvPr id="24" name="Straight Connector 23"/>
        <xdr:cNvCxnSpPr/>
      </xdr:nvCxnSpPr>
      <xdr:spPr>
        <a:xfrm>
          <a:off x="7739743" y="9405257"/>
          <a:ext cx="5443" cy="2030185"/>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712305</xdr:colOff>
      <xdr:row>45</xdr:row>
      <xdr:rowOff>140804</xdr:rowOff>
    </xdr:from>
    <xdr:to>
      <xdr:col>4</xdr:col>
      <xdr:colOff>714691</xdr:colOff>
      <xdr:row>47</xdr:row>
      <xdr:rowOff>181288</xdr:rowOff>
    </xdr:to>
    <xdr:cxnSp macro="">
      <xdr:nvCxnSpPr>
        <xdr:cNvPr id="27" name="Straight Connector 26"/>
        <xdr:cNvCxnSpPr/>
      </xdr:nvCxnSpPr>
      <xdr:spPr>
        <a:xfrm>
          <a:off x="7735957" y="9566413"/>
          <a:ext cx="2386" cy="404918"/>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4920</xdr:colOff>
      <xdr:row>13</xdr:row>
      <xdr:rowOff>212458</xdr:rowOff>
    </xdr:from>
    <xdr:to>
      <xdr:col>7</xdr:col>
      <xdr:colOff>768932</xdr:colOff>
      <xdr:row>19</xdr:row>
      <xdr:rowOff>143435</xdr:rowOff>
    </xdr:to>
    <xdr:pic>
      <xdr:nvPicPr>
        <xdr:cNvPr id="2" name="Picture 17"/>
        <xdr:cNvPicPr>
          <a:picLocks noChangeAspect="1"/>
        </xdr:cNvPicPr>
      </xdr:nvPicPr>
      <xdr:blipFill rotWithShape="1">
        <a:blip xmlns:r="http://schemas.openxmlformats.org/officeDocument/2006/relationships" r:embed="rId1"/>
        <a:srcRect b="24971"/>
        <a:stretch/>
      </xdr:blipFill>
      <xdr:spPr>
        <a:xfrm>
          <a:off x="7239438" y="3466646"/>
          <a:ext cx="6922765" cy="1598413"/>
        </a:xfrm>
        <a:prstGeom prst="rect">
          <a:avLst/>
        </a:prstGeom>
      </xdr:spPr>
    </xdr:pic>
    <xdr:clientData/>
  </xdr:twoCellAnchor>
  <xdr:twoCellAnchor>
    <xdr:from>
      <xdr:col>4</xdr:col>
      <xdr:colOff>27214</xdr:colOff>
      <xdr:row>31</xdr:row>
      <xdr:rowOff>87086</xdr:rowOff>
    </xdr:from>
    <xdr:to>
      <xdr:col>4</xdr:col>
      <xdr:colOff>386443</xdr:colOff>
      <xdr:row>31</xdr:row>
      <xdr:rowOff>87086</xdr:rowOff>
    </xdr:to>
    <xdr:cxnSp macro="">
      <xdr:nvCxnSpPr>
        <xdr:cNvPr id="3" name="Straight Connector 19"/>
        <xdr:cNvCxnSpPr/>
      </xdr:nvCxnSpPr>
      <xdr:spPr>
        <a:xfrm>
          <a:off x="7250974" y="7684226"/>
          <a:ext cx="359229" cy="0"/>
        </a:xfrm>
        <a:prstGeom prst="line">
          <a:avLst/>
        </a:prstGeom>
        <a:ln w="15875">
          <a:solidFill>
            <a:srgbClr val="0000F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713014</xdr:colOff>
      <xdr:row>31</xdr:row>
      <xdr:rowOff>157843</xdr:rowOff>
    </xdr:from>
    <xdr:to>
      <xdr:col>4</xdr:col>
      <xdr:colOff>718457</xdr:colOff>
      <xdr:row>42</xdr:row>
      <xdr:rowOff>174171</xdr:rowOff>
    </xdr:to>
    <xdr:cxnSp macro="">
      <xdr:nvCxnSpPr>
        <xdr:cNvPr id="4" name="Straight Connector 23"/>
        <xdr:cNvCxnSpPr/>
      </xdr:nvCxnSpPr>
      <xdr:spPr>
        <a:xfrm>
          <a:off x="7936774" y="7754983"/>
          <a:ext cx="5443" cy="1997528"/>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712305</xdr:colOff>
      <xdr:row>45</xdr:row>
      <xdr:rowOff>140804</xdr:rowOff>
    </xdr:from>
    <xdr:to>
      <xdr:col>4</xdr:col>
      <xdr:colOff>714691</xdr:colOff>
      <xdr:row>47</xdr:row>
      <xdr:rowOff>181288</xdr:rowOff>
    </xdr:to>
    <xdr:cxnSp macro="">
      <xdr:nvCxnSpPr>
        <xdr:cNvPr id="5" name="Straight Connector 26"/>
        <xdr:cNvCxnSpPr/>
      </xdr:nvCxnSpPr>
      <xdr:spPr>
        <a:xfrm>
          <a:off x="7936065" y="10237304"/>
          <a:ext cx="2386" cy="406244"/>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Kantoorthema">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election activeCell="B20" sqref="B20"/>
    </sheetView>
  </sheetViews>
  <sheetFormatPr defaultRowHeight="13.2" x14ac:dyDescent="0.25"/>
  <cols>
    <col min="1" max="1" width="85.88671875" customWidth="1"/>
  </cols>
  <sheetData>
    <row r="1" spans="1:1" ht="17.399999999999999" x14ac:dyDescent="0.3">
      <c r="A1" s="19" t="s">
        <v>68</v>
      </c>
    </row>
    <row r="3" spans="1:1" ht="39.6" x14ac:dyDescent="0.25">
      <c r="A3" s="11" t="s">
        <v>72</v>
      </c>
    </row>
    <row r="5" spans="1:1" x14ac:dyDescent="0.25">
      <c r="A5" t="s">
        <v>73</v>
      </c>
    </row>
    <row r="7" spans="1:1" x14ac:dyDescent="0.25">
      <c r="A7" t="s">
        <v>16</v>
      </c>
    </row>
    <row r="8" spans="1:1" ht="79.2" x14ac:dyDescent="0.25">
      <c r="A8" s="11" t="s">
        <v>17</v>
      </c>
    </row>
  </sheetData>
  <pageMargins left="0.70866141732283472" right="0.70866141732283472" top="1.1417322834645669" bottom="0.74803149606299213" header="0.31496062992125984" footer="0.31496062992125984"/>
  <pageSetup paperSize="9" orientation="portrait" r:id="rId1"/>
  <headerFooter>
    <oddHeader>&amp;L&amp;G&amp;R&amp;G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1"/>
  <sheetViews>
    <sheetView tabSelected="1" topLeftCell="A7" workbookViewId="0">
      <selection activeCell="A22" sqref="A22:XFD22"/>
    </sheetView>
  </sheetViews>
  <sheetFormatPr defaultRowHeight="13.2" x14ac:dyDescent="0.25"/>
  <cols>
    <col min="1" max="1" width="142.44140625" customWidth="1"/>
  </cols>
  <sheetData>
    <row r="1" spans="1:1" x14ac:dyDescent="0.25">
      <c r="A1" s="9" t="s">
        <v>32</v>
      </c>
    </row>
    <row r="3" spans="1:1" x14ac:dyDescent="0.25">
      <c r="A3" t="s">
        <v>18</v>
      </c>
    </row>
    <row r="4" spans="1:1" x14ac:dyDescent="0.25">
      <c r="A4" t="s">
        <v>74</v>
      </c>
    </row>
    <row r="5" spans="1:1" x14ac:dyDescent="0.25">
      <c r="A5" t="s">
        <v>19</v>
      </c>
    </row>
    <row r="6" spans="1:1" x14ac:dyDescent="0.25">
      <c r="A6" t="s">
        <v>40</v>
      </c>
    </row>
    <row r="8" spans="1:1" s="9" customFormat="1" x14ac:dyDescent="0.25">
      <c r="A8" s="9" t="s">
        <v>33</v>
      </c>
    </row>
    <row r="9" spans="1:1" x14ac:dyDescent="0.25">
      <c r="A9" t="s">
        <v>20</v>
      </c>
    </row>
    <row r="10" spans="1:1" x14ac:dyDescent="0.25">
      <c r="A10" t="s">
        <v>21</v>
      </c>
    </row>
    <row r="11" spans="1:1" x14ac:dyDescent="0.25">
      <c r="A11" t="s">
        <v>22</v>
      </c>
    </row>
    <row r="13" spans="1:1" s="9" customFormat="1" x14ac:dyDescent="0.25">
      <c r="A13" s="9" t="s">
        <v>34</v>
      </c>
    </row>
    <row r="14" spans="1:1" x14ac:dyDescent="0.25">
      <c r="A14" t="s">
        <v>75</v>
      </c>
    </row>
    <row r="15" spans="1:1" x14ac:dyDescent="0.25">
      <c r="A15" t="s">
        <v>23</v>
      </c>
    </row>
    <row r="16" spans="1:1" x14ac:dyDescent="0.25">
      <c r="A16" t="s">
        <v>24</v>
      </c>
    </row>
    <row r="17" spans="1:1" x14ac:dyDescent="0.25">
      <c r="A17" t="s">
        <v>25</v>
      </c>
    </row>
    <row r="19" spans="1:1" x14ac:dyDescent="0.25">
      <c r="A19" t="s">
        <v>37</v>
      </c>
    </row>
    <row r="20" spans="1:1" x14ac:dyDescent="0.25">
      <c r="A20" t="s">
        <v>38</v>
      </c>
    </row>
    <row r="21" spans="1:1" x14ac:dyDescent="0.25">
      <c r="A21" t="s">
        <v>39</v>
      </c>
    </row>
    <row r="22" spans="1:1" x14ac:dyDescent="0.25">
      <c r="A22" t="s">
        <v>77</v>
      </c>
    </row>
    <row r="24" spans="1:1" x14ac:dyDescent="0.25">
      <c r="A24" t="s">
        <v>71</v>
      </c>
    </row>
    <row r="26" spans="1:1" x14ac:dyDescent="0.25">
      <c r="A26" s="9" t="s">
        <v>35</v>
      </c>
    </row>
    <row r="27" spans="1:1" x14ac:dyDescent="0.25">
      <c r="A27" t="s">
        <v>26</v>
      </c>
    </row>
    <row r="28" spans="1:1" x14ac:dyDescent="0.25">
      <c r="A28" t="s">
        <v>36</v>
      </c>
    </row>
    <row r="29" spans="1:1" x14ac:dyDescent="0.25">
      <c r="A29" t="s">
        <v>69</v>
      </c>
    </row>
    <row r="30" spans="1:1" x14ac:dyDescent="0.25">
      <c r="A30" t="s">
        <v>70</v>
      </c>
    </row>
    <row r="31" spans="1:1" x14ac:dyDescent="0.25">
      <c r="A31" t="s">
        <v>45</v>
      </c>
    </row>
  </sheetData>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2">
    <tabColor rgb="FF66FF33"/>
    <pageSetUpPr fitToPage="1"/>
  </sheetPr>
  <dimension ref="A1:D16"/>
  <sheetViews>
    <sheetView zoomScale="85" zoomScaleNormal="85" workbookViewId="0">
      <selection activeCell="A21" sqref="A21"/>
    </sheetView>
  </sheetViews>
  <sheetFormatPr defaultRowHeight="25.2" customHeight="1" x14ac:dyDescent="0.25"/>
  <cols>
    <col min="1" max="1" width="65.5546875" bestFit="1" customWidth="1"/>
    <col min="2" max="2" width="11.44140625" style="1" customWidth="1"/>
    <col min="3" max="3" width="102.6640625" style="11" bestFit="1" customWidth="1"/>
    <col min="4" max="4" width="11.5546875" style="2" bestFit="1" customWidth="1"/>
    <col min="5" max="5" width="53.109375" bestFit="1" customWidth="1"/>
    <col min="6" max="8" width="15.6640625" customWidth="1"/>
    <col min="9" max="9" width="3.5546875" customWidth="1"/>
    <col min="10" max="10" width="4.6640625" customWidth="1"/>
    <col min="11" max="11" width="5.6640625" customWidth="1"/>
    <col min="12" max="12" width="1.33203125" customWidth="1"/>
    <col min="13" max="13" width="26" bestFit="1" customWidth="1"/>
  </cols>
  <sheetData>
    <row r="1" spans="1:4" s="9" customFormat="1" ht="13.2" customHeight="1" x14ac:dyDescent="0.25">
      <c r="A1" s="9" t="s">
        <v>33</v>
      </c>
      <c r="B1" s="20"/>
      <c r="C1" s="23"/>
      <c r="D1" s="21"/>
    </row>
    <row r="2" spans="1:4" ht="13.2" customHeight="1" x14ac:dyDescent="0.25">
      <c r="A2" t="s">
        <v>21</v>
      </c>
      <c r="B2"/>
      <c r="D2"/>
    </row>
    <row r="3" spans="1:4" ht="13.2" customHeight="1" x14ac:dyDescent="0.25">
      <c r="A3" t="s">
        <v>22</v>
      </c>
      <c r="B3"/>
      <c r="D3"/>
    </row>
    <row r="4" spans="1:4" ht="13.2" customHeight="1" x14ac:dyDescent="0.25"/>
    <row r="5" spans="1:4" ht="25.2" customHeight="1" x14ac:dyDescent="0.25">
      <c r="B5" s="8"/>
      <c r="C5" s="11" t="s">
        <v>3</v>
      </c>
    </row>
    <row r="6" spans="1:4" ht="25.2" customHeight="1" x14ac:dyDescent="0.25">
      <c r="A6" s="3" t="s">
        <v>41</v>
      </c>
      <c r="B6" s="106"/>
      <c r="C6" s="25" t="s">
        <v>42</v>
      </c>
    </row>
    <row r="7" spans="1:4" ht="25.2" customHeight="1" x14ac:dyDescent="0.25">
      <c r="A7" s="3" t="s">
        <v>4</v>
      </c>
      <c r="B7" s="12">
        <f>26*40</f>
        <v>1040</v>
      </c>
      <c r="C7" s="25" t="s">
        <v>43</v>
      </c>
    </row>
    <row r="8" spans="1:4" ht="25.2" customHeight="1" x14ac:dyDescent="0.25">
      <c r="A8" s="3" t="s">
        <v>5</v>
      </c>
      <c r="B8" s="13">
        <f>B7/12</f>
        <v>86.666666666666671</v>
      </c>
      <c r="C8" s="25"/>
    </row>
    <row r="9" spans="1:4" ht="25.2" customHeight="1" x14ac:dyDescent="0.25">
      <c r="A9" s="3" t="s">
        <v>2</v>
      </c>
      <c r="B9" s="14">
        <f>B6/B7</f>
        <v>0</v>
      </c>
      <c r="C9" s="25"/>
    </row>
    <row r="10" spans="1:4" ht="25.2" customHeight="1" x14ac:dyDescent="0.25">
      <c r="B10" s="4"/>
      <c r="C10" s="25"/>
    </row>
    <row r="11" spans="1:4" ht="25.2" customHeight="1" x14ac:dyDescent="0.25">
      <c r="A11" s="3" t="s">
        <v>6</v>
      </c>
      <c r="B11" s="22">
        <f>1006.59/80</f>
        <v>12.582375000000001</v>
      </c>
      <c r="C11" s="25" t="s">
        <v>44</v>
      </c>
    </row>
    <row r="12" spans="1:4" ht="25.2" customHeight="1" x14ac:dyDescent="0.25">
      <c r="B12" s="5"/>
    </row>
    <row r="16" spans="1:4" ht="25.2" customHeight="1" x14ac:dyDescent="0.25">
      <c r="A16" s="1"/>
      <c r="B16"/>
      <c r="C16" s="24"/>
      <c r="D16"/>
    </row>
  </sheetData>
  <sheetProtection selectLockedCells="1"/>
  <pageMargins left="0.70866141732283472" right="0.70866141732283472" top="0.98425196850393704" bottom="0.74803149606299213" header="0.31496062992125984" footer="0.31496062992125984"/>
  <pageSetup paperSize="9" scale="69" fitToHeight="2" orientation="portrait" r:id="rId1"/>
  <headerFooter>
    <oddHeader>&amp;L&amp;14&amp;K04+000
Scenario analyse Enbrel-Benepali switch
&amp;R&amp;G</oddHeader>
    <oddFooter>&amp;C&amp;F / &amp;A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pageSetUpPr fitToPage="1"/>
  </sheetPr>
  <dimension ref="A1:I70"/>
  <sheetViews>
    <sheetView topLeftCell="A16" zoomScale="85" zoomScaleNormal="85" workbookViewId="0">
      <selection activeCell="B21" sqref="B21"/>
    </sheetView>
  </sheetViews>
  <sheetFormatPr defaultColWidth="9.109375" defaultRowHeight="13.2" x14ac:dyDescent="0.25"/>
  <cols>
    <col min="1" max="1" width="59.5546875" style="54" customWidth="1"/>
    <col min="2" max="2" width="14.44140625" style="52" bestFit="1" customWidth="1"/>
    <col min="3" max="3" width="17.33203125" style="53" customWidth="1"/>
    <col min="4" max="4" width="14" style="54" customWidth="1"/>
    <col min="5" max="5" width="16.6640625" style="54" customWidth="1"/>
    <col min="6" max="6" width="59.5546875" style="55" customWidth="1"/>
    <col min="7" max="7" width="13.44140625" style="54" bestFit="1" customWidth="1"/>
    <col min="8" max="8" width="17.33203125" style="54" customWidth="1"/>
    <col min="9" max="9" width="14" style="54" customWidth="1"/>
    <col min="10" max="10" width="4.6640625" style="54" customWidth="1"/>
    <col min="11" max="11" width="5.6640625" style="54" customWidth="1"/>
    <col min="12" max="12" width="1.33203125" style="54" customWidth="1"/>
    <col min="13" max="13" width="26" style="54" bestFit="1" customWidth="1"/>
    <col min="14" max="16384" width="9.109375" style="54"/>
  </cols>
  <sheetData>
    <row r="1" spans="1:7" x14ac:dyDescent="0.25">
      <c r="A1" s="51" t="s">
        <v>46</v>
      </c>
    </row>
    <row r="2" spans="1:7" x14ac:dyDescent="0.25">
      <c r="A2" s="54" t="s">
        <v>25</v>
      </c>
      <c r="B2" s="54"/>
      <c r="C2" s="54"/>
    </row>
    <row r="4" spans="1:7" ht="19.5" customHeight="1" x14ac:dyDescent="0.25">
      <c r="A4" s="51" t="s">
        <v>7</v>
      </c>
      <c r="B4" s="7"/>
    </row>
    <row r="5" spans="1:7" ht="22.2" customHeight="1" x14ac:dyDescent="0.25">
      <c r="A5" s="59" t="s">
        <v>65</v>
      </c>
      <c r="B5" s="15">
        <f>Voorblad!B6</f>
        <v>0</v>
      </c>
    </row>
    <row r="6" spans="1:7" ht="22.2" customHeight="1" x14ac:dyDescent="0.25">
      <c r="A6" s="56" t="s">
        <v>4</v>
      </c>
      <c r="B6" s="15">
        <f>Voorblad!B7</f>
        <v>1040</v>
      </c>
    </row>
    <row r="7" spans="1:7" ht="22.2" customHeight="1" x14ac:dyDescent="0.25">
      <c r="A7" s="56" t="s">
        <v>5</v>
      </c>
      <c r="B7" s="47">
        <f>Voorblad!B8</f>
        <v>86.666666666666671</v>
      </c>
    </row>
    <row r="8" spans="1:7" ht="22.2" customHeight="1" x14ac:dyDescent="0.25">
      <c r="A8" s="56" t="s">
        <v>2</v>
      </c>
      <c r="B8" s="15">
        <f>Voorblad!B9</f>
        <v>0</v>
      </c>
    </row>
    <row r="9" spans="1:7" ht="22.2" customHeight="1" x14ac:dyDescent="0.25">
      <c r="B9" s="6"/>
      <c r="G9" s="57"/>
    </row>
    <row r="10" spans="1:7" ht="22.2" customHeight="1" x14ac:dyDescent="0.25">
      <c r="A10" s="56" t="s">
        <v>6</v>
      </c>
      <c r="B10" s="16">
        <f>Voorblad!B11</f>
        <v>12.582375000000001</v>
      </c>
      <c r="D10" s="58"/>
    </row>
    <row r="11" spans="1:7" ht="22.2" customHeight="1" x14ac:dyDescent="0.25">
      <c r="A11" s="59" t="s">
        <v>47</v>
      </c>
      <c r="B11" s="102"/>
    </row>
    <row r="12" spans="1:7" ht="22.2" customHeight="1" x14ac:dyDescent="0.25">
      <c r="A12" s="56" t="s">
        <v>56</v>
      </c>
      <c r="B12" s="102"/>
    </row>
    <row r="13" spans="1:7" ht="22.2" customHeight="1" x14ac:dyDescent="0.25">
      <c r="A13" s="60" t="s">
        <v>57</v>
      </c>
      <c r="B13" s="102"/>
    </row>
    <row r="14" spans="1:7" ht="22.2" customHeight="1" x14ac:dyDescent="0.25">
      <c r="A14" s="56" t="s">
        <v>55</v>
      </c>
      <c r="B14" s="102"/>
    </row>
    <row r="15" spans="1:7" ht="22.2" customHeight="1" x14ac:dyDescent="0.25">
      <c r="B15" s="5"/>
    </row>
    <row r="16" spans="1:7" ht="22.2" customHeight="1" x14ac:dyDescent="0.25">
      <c r="A16" s="51" t="s">
        <v>9</v>
      </c>
      <c r="B16" s="10"/>
    </row>
    <row r="17" spans="1:9" ht="22.2" customHeight="1" x14ac:dyDescent="0.25">
      <c r="A17" s="56" t="s">
        <v>54</v>
      </c>
      <c r="B17" s="105"/>
    </row>
    <row r="18" spans="1:9" ht="22.2" customHeight="1" x14ac:dyDescent="0.25">
      <c r="A18" s="56" t="s">
        <v>76</v>
      </c>
      <c r="B18" s="17">
        <f>100%-B17</f>
        <v>1</v>
      </c>
    </row>
    <row r="19" spans="1:9" ht="22.2" customHeight="1" x14ac:dyDescent="0.25"/>
    <row r="20" spans="1:9" ht="22.2" customHeight="1" x14ac:dyDescent="0.25">
      <c r="A20" s="56" t="s">
        <v>48</v>
      </c>
      <c r="B20" s="103"/>
    </row>
    <row r="21" spans="1:9" ht="21.6" customHeight="1" x14ac:dyDescent="0.25">
      <c r="A21" s="56" t="s">
        <v>27</v>
      </c>
      <c r="B21" s="104"/>
    </row>
    <row r="22" spans="1:9" ht="18.600000000000001" hidden="1" customHeight="1" x14ac:dyDescent="0.25">
      <c r="A22" s="61" t="s">
        <v>50</v>
      </c>
      <c r="B22" s="26" t="str">
        <f>"1-1-"&amp; YEAR(B20)</f>
        <v>1-1-1900</v>
      </c>
    </row>
    <row r="23" spans="1:9" ht="23.4" hidden="1" customHeight="1" x14ac:dyDescent="0.35">
      <c r="A23" s="61" t="s">
        <v>49</v>
      </c>
      <c r="B23" s="26">
        <f>DATE((YEAR(B20)+1),12,31)</f>
        <v>731</v>
      </c>
      <c r="E23" s="62"/>
    </row>
    <row r="24" spans="1:9" ht="17.399999999999999" hidden="1" customHeight="1" x14ac:dyDescent="0.25">
      <c r="A24" s="63" t="s">
        <v>51</v>
      </c>
      <c r="B24" s="27">
        <f>ROUND((B20-B22)/365*12,0)</f>
        <v>0</v>
      </c>
    </row>
    <row r="25" spans="1:9" ht="38.4" hidden="1" customHeight="1" x14ac:dyDescent="0.25">
      <c r="A25" s="63" t="s">
        <v>52</v>
      </c>
      <c r="B25" s="27">
        <f>ROUND(((B21-B20)/365*12),0)</f>
        <v>0</v>
      </c>
    </row>
    <row r="26" spans="1:9" ht="14.4" hidden="1" x14ac:dyDescent="0.25">
      <c r="A26" s="63" t="s">
        <v>53</v>
      </c>
      <c r="B26" s="27">
        <f>ROUND(((B23-B21)/365*12),0)</f>
        <v>24</v>
      </c>
    </row>
    <row r="27" spans="1:9" ht="22.2" customHeight="1" x14ac:dyDescent="0.25">
      <c r="B27" s="54"/>
      <c r="C27" s="54"/>
    </row>
    <row r="28" spans="1:9" ht="22.2" customHeight="1" x14ac:dyDescent="0.25">
      <c r="A28" s="56" t="s">
        <v>8</v>
      </c>
      <c r="B28" s="18">
        <v>0</v>
      </c>
      <c r="C28" s="53" t="s">
        <v>28</v>
      </c>
    </row>
    <row r="29" spans="1:9" ht="22.2" customHeight="1" x14ac:dyDescent="0.25">
      <c r="A29" s="64"/>
      <c r="B29" s="54"/>
      <c r="C29" s="54"/>
    </row>
    <row r="30" spans="1:9" s="66" customFormat="1" ht="17.399999999999999" x14ac:dyDescent="0.25">
      <c r="A30" s="65"/>
      <c r="B30" s="65"/>
      <c r="C30" s="65"/>
      <c r="D30" s="65"/>
      <c r="E30" s="65"/>
      <c r="F30" s="65"/>
      <c r="G30" s="65"/>
      <c r="H30" s="65"/>
      <c r="I30" s="65"/>
    </row>
    <row r="31" spans="1:9" s="66" customFormat="1" ht="13.35" customHeight="1" x14ac:dyDescent="0.25">
      <c r="A31" s="67" t="s">
        <v>64</v>
      </c>
      <c r="B31" s="68" t="s">
        <v>0</v>
      </c>
      <c r="C31" s="68"/>
      <c r="D31" s="69" t="s">
        <v>60</v>
      </c>
      <c r="E31" s="65"/>
      <c r="F31" s="65"/>
      <c r="G31" s="65"/>
      <c r="H31" s="65"/>
      <c r="I31" s="65"/>
    </row>
    <row r="32" spans="1:9" s="66" customFormat="1" ht="13.35" customHeight="1" x14ac:dyDescent="0.3">
      <c r="A32" s="70" t="s">
        <v>31</v>
      </c>
      <c r="B32" s="46">
        <f>B5*B10</f>
        <v>0</v>
      </c>
      <c r="C32" s="71"/>
      <c r="D32" s="72">
        <f>B5*(1-B11)*B10</f>
        <v>0</v>
      </c>
      <c r="E32" s="73">
        <f>D32</f>
        <v>0</v>
      </c>
      <c r="F32" s="74" t="s">
        <v>62</v>
      </c>
      <c r="G32" s="65"/>
      <c r="H32" s="65"/>
      <c r="I32" s="65"/>
    </row>
    <row r="33" spans="1:6" ht="13.35" customHeight="1" x14ac:dyDescent="0.25">
      <c r="B33" s="54"/>
      <c r="C33" s="54"/>
    </row>
    <row r="34" spans="1:6" ht="12.75" customHeight="1" x14ac:dyDescent="0.25">
      <c r="A34" s="75" t="str">
        <f>CONCATENATE("Kosten switchjaren ",YEAR(B22),"-",YEAR(B23))</f>
        <v>Kosten switchjaren 1900-1901</v>
      </c>
      <c r="B34" s="76" t="s">
        <v>0</v>
      </c>
      <c r="C34" s="76" t="s">
        <v>29</v>
      </c>
      <c r="D34" s="77" t="s">
        <v>30</v>
      </c>
    </row>
    <row r="35" spans="1:6" ht="15" customHeight="1" x14ac:dyDescent="0.3">
      <c r="A35" s="70" t="s">
        <v>31</v>
      </c>
      <c r="B35" s="28">
        <f>B5*B10*2</f>
        <v>0</v>
      </c>
      <c r="C35" s="29">
        <f>(B8*B7*(1-B11)*B10*B24)+(B8*B7*(1-B12)*B10*(B25+B26))</f>
        <v>0</v>
      </c>
      <c r="D35" s="30"/>
    </row>
    <row r="36" spans="1:6" ht="15" customHeight="1" x14ac:dyDescent="0.3">
      <c r="A36" s="78" t="s">
        <v>11</v>
      </c>
      <c r="B36" s="31"/>
      <c r="C36" s="29"/>
      <c r="D36" s="32">
        <f>B8*B7*(1-B11)*B10*B24</f>
        <v>0</v>
      </c>
    </row>
    <row r="37" spans="1:6" ht="15" customHeight="1" x14ac:dyDescent="0.3">
      <c r="A37" s="78" t="s">
        <v>58</v>
      </c>
      <c r="B37" s="31"/>
      <c r="C37" s="29"/>
      <c r="D37" s="32">
        <f>(B8*B18*B7*(1-B13)*B10*B25)</f>
        <v>0</v>
      </c>
    </row>
    <row r="38" spans="1:6" ht="14.4" x14ac:dyDescent="0.3">
      <c r="A38" s="78" t="s">
        <v>12</v>
      </c>
      <c r="B38" s="31"/>
      <c r="C38" s="29"/>
      <c r="D38" s="32">
        <f>(0.5*B8*B17*B7*(1-B13)*B10*B25)</f>
        <v>0</v>
      </c>
    </row>
    <row r="39" spans="1:6" ht="14.4" x14ac:dyDescent="0.3">
      <c r="A39" s="79" t="s">
        <v>59</v>
      </c>
      <c r="B39" s="33"/>
      <c r="C39" s="34"/>
      <c r="D39" s="35">
        <f>+B8*(B18)*B7*(1-B13)*B10*B26</f>
        <v>0</v>
      </c>
    </row>
    <row r="40" spans="1:6" ht="14.4" x14ac:dyDescent="0.3">
      <c r="A40" s="80" t="s">
        <v>10</v>
      </c>
      <c r="B40" s="36"/>
      <c r="C40" s="37"/>
      <c r="D40" s="30"/>
    </row>
    <row r="41" spans="1:6" ht="14.4" x14ac:dyDescent="0.3">
      <c r="A41" s="81" t="s">
        <v>12</v>
      </c>
      <c r="B41" s="38"/>
      <c r="C41" s="39"/>
      <c r="D41" s="40">
        <f>(0.5*B8*B17*B7*(1-B14)*B10*B25)</f>
        <v>0</v>
      </c>
    </row>
    <row r="42" spans="1:6" ht="14.4" x14ac:dyDescent="0.3">
      <c r="A42" s="82" t="s">
        <v>13</v>
      </c>
      <c r="B42" s="83"/>
      <c r="C42" s="84"/>
      <c r="D42" s="41">
        <f>B8*B17*B7*(1-B14)*B10*B26</f>
        <v>0</v>
      </c>
    </row>
    <row r="43" spans="1:6" ht="14.4" x14ac:dyDescent="0.3">
      <c r="A43" s="85" t="s">
        <v>1</v>
      </c>
      <c r="B43" s="86"/>
      <c r="C43" s="87"/>
      <c r="D43" s="42">
        <f>B28*B8*B17</f>
        <v>0</v>
      </c>
    </row>
    <row r="44" spans="1:6" x14ac:dyDescent="0.25">
      <c r="A44" s="88" t="s">
        <v>14</v>
      </c>
      <c r="B44" s="89">
        <f>SUM(B35:B43)</f>
        <v>0</v>
      </c>
      <c r="C44" s="90">
        <f>SUM(C35:C43)</f>
        <v>0</v>
      </c>
      <c r="D44" s="91">
        <f>SUM(D35:D43)</f>
        <v>0</v>
      </c>
      <c r="E44" s="73">
        <f>D44/2</f>
        <v>0</v>
      </c>
      <c r="F44" s="74" t="s">
        <v>61</v>
      </c>
    </row>
    <row r="45" spans="1:6" x14ac:dyDescent="0.25">
      <c r="A45" s="92" t="s">
        <v>15</v>
      </c>
      <c r="B45" s="93"/>
      <c r="C45" s="94"/>
      <c r="D45" s="95">
        <f>C44-D44</f>
        <v>0</v>
      </c>
      <c r="E45" s="73">
        <f>E32-E44</f>
        <v>0</v>
      </c>
      <c r="F45" s="74" t="s">
        <v>63</v>
      </c>
    </row>
    <row r="46" spans="1:6" ht="15.75" customHeight="1" x14ac:dyDescent="0.25">
      <c r="A46" s="96"/>
      <c r="B46" s="96"/>
      <c r="C46" s="97"/>
      <c r="D46" s="96"/>
    </row>
    <row r="47" spans="1:6" ht="13.2" customHeight="1" x14ac:dyDescent="0.25">
      <c r="A47" s="98" t="s">
        <v>66</v>
      </c>
      <c r="B47" s="99" t="s">
        <v>0</v>
      </c>
      <c r="C47" s="99" t="s">
        <v>29</v>
      </c>
      <c r="D47" s="100" t="s">
        <v>30</v>
      </c>
    </row>
    <row r="48" spans="1:6" ht="14.4" x14ac:dyDescent="0.3">
      <c r="A48" s="70" t="s">
        <v>31</v>
      </c>
      <c r="B48" s="43">
        <f>B8*B7*12*B10</f>
        <v>0</v>
      </c>
      <c r="C48" s="44">
        <f>B8*B7*(1-B12)*B10*12</f>
        <v>0</v>
      </c>
      <c r="D48" s="45">
        <f>B8*B18*B7*(1-B13)*B10*12</f>
        <v>0</v>
      </c>
    </row>
    <row r="49" spans="1:6" ht="14.4" x14ac:dyDescent="0.3">
      <c r="A49" s="101" t="s">
        <v>10</v>
      </c>
      <c r="B49" s="48"/>
      <c r="C49" s="49"/>
      <c r="D49" s="50">
        <f>B8*B17*B7*(1-B14)*B10*12</f>
        <v>0</v>
      </c>
      <c r="E49" s="73">
        <f>D49+D48</f>
        <v>0</v>
      </c>
      <c r="F49" s="74" t="s">
        <v>62</v>
      </c>
    </row>
    <row r="50" spans="1:6" x14ac:dyDescent="0.25">
      <c r="A50" s="96"/>
      <c r="B50" s="96"/>
      <c r="C50" s="97"/>
      <c r="E50" s="73">
        <f>E32-E49</f>
        <v>0</v>
      </c>
      <c r="F50" s="74" t="s">
        <v>63</v>
      </c>
    </row>
    <row r="51" spans="1:6" ht="15.75" customHeight="1" x14ac:dyDescent="0.25">
      <c r="B51" s="54"/>
      <c r="C51" s="54"/>
      <c r="F51" s="74"/>
    </row>
    <row r="52" spans="1:6" ht="12.75" customHeight="1" x14ac:dyDescent="0.25">
      <c r="B52" s="54"/>
      <c r="C52" s="54"/>
    </row>
    <row r="53" spans="1:6" x14ac:dyDescent="0.25">
      <c r="B53" s="54"/>
      <c r="C53" s="54"/>
    </row>
    <row r="54" spans="1:6" x14ac:dyDescent="0.25">
      <c r="B54" s="54"/>
      <c r="C54" s="54"/>
    </row>
    <row r="55" spans="1:6" x14ac:dyDescent="0.25">
      <c r="B55" s="54"/>
      <c r="C55" s="54"/>
    </row>
    <row r="56" spans="1:6" x14ac:dyDescent="0.25">
      <c r="B56" s="54"/>
      <c r="C56" s="54"/>
    </row>
    <row r="57" spans="1:6" x14ac:dyDescent="0.25">
      <c r="B57" s="54"/>
      <c r="C57" s="54"/>
    </row>
    <row r="58" spans="1:6" x14ac:dyDescent="0.25">
      <c r="B58" s="54"/>
      <c r="C58" s="54"/>
    </row>
    <row r="59" spans="1:6" x14ac:dyDescent="0.25">
      <c r="B59" s="54"/>
      <c r="C59" s="54"/>
    </row>
    <row r="60" spans="1:6" x14ac:dyDescent="0.25">
      <c r="B60" s="54"/>
      <c r="C60" s="54"/>
    </row>
    <row r="61" spans="1:6" x14ac:dyDescent="0.25">
      <c r="B61" s="54"/>
      <c r="C61" s="54"/>
    </row>
    <row r="62" spans="1:6" x14ac:dyDescent="0.25">
      <c r="B62" s="54"/>
    </row>
    <row r="63" spans="1:6" x14ac:dyDescent="0.25">
      <c r="B63" s="54"/>
    </row>
    <row r="64" spans="1:6" x14ac:dyDescent="0.25">
      <c r="B64" s="54"/>
    </row>
    <row r="65" spans="2:2" x14ac:dyDescent="0.25">
      <c r="B65" s="54"/>
    </row>
    <row r="66" spans="2:2" x14ac:dyDescent="0.25">
      <c r="B66" s="54"/>
    </row>
    <row r="67" spans="2:2" x14ac:dyDescent="0.25">
      <c r="B67" s="54"/>
    </row>
    <row r="68" spans="2:2" x14ac:dyDescent="0.25">
      <c r="B68" s="54"/>
    </row>
    <row r="69" spans="2:2" x14ac:dyDescent="0.25">
      <c r="B69" s="54"/>
    </row>
    <row r="70" spans="2:2" x14ac:dyDescent="0.25">
      <c r="B70" s="54"/>
    </row>
  </sheetData>
  <sheetProtection sheet="1" objects="1" scenarios="1" selectLockedCells="1"/>
  <conditionalFormatting sqref="D45">
    <cfRule type="cellIs" dxfId="11" priority="23" operator="greaterThan">
      <formula>0</formula>
    </cfRule>
    <cfRule type="cellIs" dxfId="10" priority="24" operator="lessThan">
      <formula>0</formula>
    </cfRule>
  </conditionalFormatting>
  <conditionalFormatting sqref="E45">
    <cfRule type="cellIs" dxfId="9" priority="3" operator="lessThan">
      <formula>0</formula>
    </cfRule>
    <cfRule type="cellIs" dxfId="8" priority="4" operator="greaterThan">
      <formula>0</formula>
    </cfRule>
  </conditionalFormatting>
  <conditionalFormatting sqref="E50">
    <cfRule type="cellIs" dxfId="7" priority="1" operator="lessThan">
      <formula>0</formula>
    </cfRule>
    <cfRule type="cellIs" dxfId="6" priority="2" operator="greaterThan">
      <formula>0</formula>
    </cfRule>
  </conditionalFormatting>
  <pageMargins left="0.70866141732283472" right="0.70866141732283472" top="0.98425196850393704" bottom="0.74803149606299213" header="0.31496062992125984" footer="0.31496062992125984"/>
  <pageSetup paperSize="9" scale="69" fitToHeight="2" orientation="portrait" r:id="rId1"/>
  <headerFooter>
    <oddHeader>&amp;L&amp;14&amp;K04+000
Scenario analyse Enbrel-Benepali switch
&amp;R&amp;G</oddHeader>
    <oddFooter>&amp;C&amp;F / &amp;A</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0"/>
  <sheetViews>
    <sheetView topLeftCell="A13" zoomScale="85" zoomScaleNormal="85" workbookViewId="0">
      <selection activeCell="E13" sqref="E13"/>
    </sheetView>
  </sheetViews>
  <sheetFormatPr defaultColWidth="9.109375" defaultRowHeight="13.2" x14ac:dyDescent="0.25"/>
  <cols>
    <col min="1" max="1" width="59.5546875" style="54" customWidth="1"/>
    <col min="2" max="2" width="14.44140625" style="52" bestFit="1" customWidth="1"/>
    <col min="3" max="3" width="17.33203125" style="53" customWidth="1"/>
    <col min="4" max="4" width="14" style="54" customWidth="1"/>
    <col min="5" max="5" width="16.6640625" style="54" customWidth="1"/>
    <col min="6" max="6" width="59.5546875" style="55" customWidth="1"/>
    <col min="7" max="7" width="13.44140625" style="54" bestFit="1" customWidth="1"/>
    <col min="8" max="8" width="17.33203125" style="54" customWidth="1"/>
    <col min="9" max="9" width="14" style="54" customWidth="1"/>
    <col min="10" max="10" width="4.6640625" style="54" customWidth="1"/>
    <col min="11" max="11" width="5.6640625" style="54" customWidth="1"/>
    <col min="12" max="12" width="1.33203125" style="54" customWidth="1"/>
    <col min="13" max="13" width="26" style="54" bestFit="1" customWidth="1"/>
    <col min="14" max="16384" width="9.109375" style="54"/>
  </cols>
  <sheetData>
    <row r="1" spans="1:7" x14ac:dyDescent="0.25">
      <c r="A1" s="51" t="s">
        <v>46</v>
      </c>
    </row>
    <row r="2" spans="1:7" x14ac:dyDescent="0.25">
      <c r="A2" s="54" t="s">
        <v>25</v>
      </c>
      <c r="B2" s="54"/>
      <c r="C2" s="54"/>
    </row>
    <row r="4" spans="1:7" ht="19.5" customHeight="1" x14ac:dyDescent="0.25">
      <c r="A4" s="51" t="s">
        <v>7</v>
      </c>
      <c r="B4" s="7"/>
    </row>
    <row r="5" spans="1:7" ht="22.2" customHeight="1" x14ac:dyDescent="0.25">
      <c r="A5" s="59" t="s">
        <v>65</v>
      </c>
      <c r="B5" s="15">
        <v>104000</v>
      </c>
    </row>
    <row r="6" spans="1:7" ht="22.2" customHeight="1" x14ac:dyDescent="0.25">
      <c r="A6" s="56" t="s">
        <v>4</v>
      </c>
      <c r="B6" s="15">
        <v>1040</v>
      </c>
    </row>
    <row r="7" spans="1:7" ht="22.2" customHeight="1" x14ac:dyDescent="0.25">
      <c r="A7" s="56" t="s">
        <v>5</v>
      </c>
      <c r="B7" s="47">
        <v>86.666666666666671</v>
      </c>
    </row>
    <row r="8" spans="1:7" ht="22.2" customHeight="1" x14ac:dyDescent="0.25">
      <c r="A8" s="56" t="s">
        <v>2</v>
      </c>
      <c r="B8" s="15">
        <v>100</v>
      </c>
    </row>
    <row r="9" spans="1:7" ht="22.2" customHeight="1" x14ac:dyDescent="0.25">
      <c r="B9" s="6"/>
      <c r="G9" s="57"/>
    </row>
    <row r="10" spans="1:7" ht="22.2" customHeight="1" x14ac:dyDescent="0.25">
      <c r="A10" s="56" t="s">
        <v>6</v>
      </c>
      <c r="B10" s="16">
        <f>Voorblad!B11</f>
        <v>12.582375000000001</v>
      </c>
      <c r="D10" s="58"/>
    </row>
    <row r="11" spans="1:7" ht="22.2" customHeight="1" x14ac:dyDescent="0.25">
      <c r="A11" s="59" t="s">
        <v>47</v>
      </c>
      <c r="B11" s="109">
        <v>0.15</v>
      </c>
      <c r="C11" s="54" t="s">
        <v>67</v>
      </c>
    </row>
    <row r="12" spans="1:7" ht="22.2" customHeight="1" x14ac:dyDescent="0.25">
      <c r="A12" s="56" t="s">
        <v>56</v>
      </c>
      <c r="B12" s="109">
        <v>0.2</v>
      </c>
      <c r="C12" s="54" t="s">
        <v>67</v>
      </c>
    </row>
    <row r="13" spans="1:7" ht="22.2" customHeight="1" x14ac:dyDescent="0.25">
      <c r="A13" s="60" t="s">
        <v>57</v>
      </c>
      <c r="B13" s="109">
        <v>0.02</v>
      </c>
      <c r="C13" s="54" t="s">
        <v>67</v>
      </c>
    </row>
    <row r="14" spans="1:7" ht="22.2" customHeight="1" x14ac:dyDescent="0.25">
      <c r="A14" s="56" t="s">
        <v>55</v>
      </c>
      <c r="B14" s="109">
        <v>0.35</v>
      </c>
      <c r="C14" s="54" t="s">
        <v>67</v>
      </c>
    </row>
    <row r="15" spans="1:7" ht="22.2" customHeight="1" x14ac:dyDescent="0.25">
      <c r="B15" s="5"/>
    </row>
    <row r="16" spans="1:7" ht="22.2" customHeight="1" x14ac:dyDescent="0.25">
      <c r="A16" s="51" t="s">
        <v>9</v>
      </c>
      <c r="B16" s="10"/>
    </row>
    <row r="17" spans="1:9" ht="22.2" customHeight="1" x14ac:dyDescent="0.25">
      <c r="A17" s="56" t="s">
        <v>54</v>
      </c>
      <c r="B17" s="110">
        <v>0.8</v>
      </c>
      <c r="C17" s="54" t="s">
        <v>67</v>
      </c>
    </row>
    <row r="18" spans="1:9" ht="22.2" customHeight="1" x14ac:dyDescent="0.25">
      <c r="A18" s="56" t="s">
        <v>76</v>
      </c>
      <c r="B18" s="17">
        <f>100%-B17</f>
        <v>0.19999999999999996</v>
      </c>
    </row>
    <row r="19" spans="1:9" ht="22.2" customHeight="1" x14ac:dyDescent="0.25"/>
    <row r="20" spans="1:9" ht="22.2" customHeight="1" x14ac:dyDescent="0.25">
      <c r="A20" s="56" t="s">
        <v>48</v>
      </c>
      <c r="B20" s="111">
        <v>43466</v>
      </c>
    </row>
    <row r="21" spans="1:9" ht="14.4" x14ac:dyDescent="0.25">
      <c r="A21" s="56" t="s">
        <v>27</v>
      </c>
      <c r="B21" s="112">
        <v>43556</v>
      </c>
    </row>
    <row r="22" spans="1:9" ht="14.4" hidden="1" x14ac:dyDescent="0.25">
      <c r="A22" s="61" t="s">
        <v>50</v>
      </c>
      <c r="B22" s="26" t="str">
        <f>"1-1-"&amp; YEAR(B20)</f>
        <v>1-1-2019</v>
      </c>
    </row>
    <row r="23" spans="1:9" ht="15" hidden="1" x14ac:dyDescent="0.35">
      <c r="A23" s="61" t="s">
        <v>49</v>
      </c>
      <c r="B23" s="26">
        <f>DATE(YEAR(B20)+1,12,31)</f>
        <v>44196</v>
      </c>
      <c r="E23" s="62"/>
    </row>
    <row r="24" spans="1:9" ht="14.4" hidden="1" x14ac:dyDescent="0.25">
      <c r="A24" s="63" t="s">
        <v>51</v>
      </c>
      <c r="B24" s="27">
        <f>ROUND((B20-B22)/365*12,0)</f>
        <v>0</v>
      </c>
    </row>
    <row r="25" spans="1:9" ht="14.4" hidden="1" x14ac:dyDescent="0.25">
      <c r="A25" s="63" t="s">
        <v>52</v>
      </c>
      <c r="B25" s="27">
        <f>ROUND(((B21-B20)/365*12),0)</f>
        <v>3</v>
      </c>
    </row>
    <row r="26" spans="1:9" ht="14.4" hidden="1" x14ac:dyDescent="0.25">
      <c r="A26" s="63" t="s">
        <v>53</v>
      </c>
      <c r="B26" s="27">
        <f>ROUND(((B23-B21)/365*12),0)</f>
        <v>21</v>
      </c>
    </row>
    <row r="27" spans="1:9" ht="22.2" customHeight="1" x14ac:dyDescent="0.25">
      <c r="B27" s="54"/>
      <c r="C27" s="54"/>
    </row>
    <row r="28" spans="1:9" ht="22.2" customHeight="1" x14ac:dyDescent="0.25">
      <c r="A28" s="56" t="s">
        <v>8</v>
      </c>
      <c r="B28" s="113">
        <v>50</v>
      </c>
      <c r="C28" s="53" t="s">
        <v>28</v>
      </c>
    </row>
    <row r="29" spans="1:9" ht="22.2" customHeight="1" x14ac:dyDescent="0.25">
      <c r="A29" s="64"/>
      <c r="B29" s="54"/>
      <c r="C29" s="54"/>
    </row>
    <row r="30" spans="1:9" s="66" customFormat="1" ht="17.399999999999999" x14ac:dyDescent="0.25">
      <c r="A30" s="65"/>
      <c r="B30" s="65"/>
      <c r="C30" s="65"/>
      <c r="D30" s="65"/>
      <c r="E30" s="65"/>
      <c r="F30" s="65"/>
      <c r="G30" s="65"/>
      <c r="H30" s="65"/>
      <c r="I30" s="65"/>
    </row>
    <row r="31" spans="1:9" s="66" customFormat="1" ht="13.35" customHeight="1" x14ac:dyDescent="0.25">
      <c r="A31" s="67" t="s">
        <v>64</v>
      </c>
      <c r="B31" s="68" t="s">
        <v>0</v>
      </c>
      <c r="C31" s="68"/>
      <c r="D31" s="69" t="s">
        <v>60</v>
      </c>
      <c r="E31" s="65"/>
      <c r="F31" s="65"/>
      <c r="G31" s="65"/>
      <c r="H31" s="65"/>
      <c r="I31" s="65"/>
    </row>
    <row r="32" spans="1:9" s="66" customFormat="1" ht="13.35" customHeight="1" x14ac:dyDescent="0.3">
      <c r="A32" s="70" t="s">
        <v>31</v>
      </c>
      <c r="B32" s="46">
        <f>B5*B10</f>
        <v>1308567</v>
      </c>
      <c r="C32" s="71"/>
      <c r="D32" s="72">
        <f>B5*(1-B11)*B10</f>
        <v>1112281.95</v>
      </c>
      <c r="E32" s="73">
        <f>D32</f>
        <v>1112281.95</v>
      </c>
      <c r="F32" s="74" t="s">
        <v>62</v>
      </c>
      <c r="G32" s="65"/>
      <c r="H32" s="65"/>
      <c r="I32" s="65"/>
    </row>
    <row r="33" spans="1:6" ht="13.35" customHeight="1" x14ac:dyDescent="0.25">
      <c r="B33" s="54"/>
      <c r="C33" s="54"/>
    </row>
    <row r="34" spans="1:6" ht="12.75" customHeight="1" x14ac:dyDescent="0.25">
      <c r="A34" s="75" t="str">
        <f>CONCATENATE("Kosten switchjaren ",YEAR(B22),"-",YEAR(B23))</f>
        <v>Kosten switchjaren 2019-2020</v>
      </c>
      <c r="B34" s="76" t="s">
        <v>0</v>
      </c>
      <c r="C34" s="76" t="s">
        <v>29</v>
      </c>
      <c r="D34" s="77" t="s">
        <v>30</v>
      </c>
    </row>
    <row r="35" spans="1:6" ht="15" customHeight="1" x14ac:dyDescent="0.3">
      <c r="A35" s="70" t="s">
        <v>31</v>
      </c>
      <c r="B35" s="28">
        <f>B5*B10*2</f>
        <v>2617134</v>
      </c>
      <c r="C35" s="29">
        <f>(B8*B7*(1-B11)*B10*B24)+(B8*B7*(1-B12)*B10*(B25+B26))</f>
        <v>2093707.2000000004</v>
      </c>
      <c r="D35" s="30"/>
    </row>
    <row r="36" spans="1:6" ht="15" customHeight="1" x14ac:dyDescent="0.3">
      <c r="A36" s="78" t="s">
        <v>11</v>
      </c>
      <c r="B36" s="31"/>
      <c r="C36" s="29"/>
      <c r="D36" s="32">
        <f>B8*B7*(1-B11)*B10*B24</f>
        <v>0</v>
      </c>
    </row>
    <row r="37" spans="1:6" ht="15" customHeight="1" x14ac:dyDescent="0.3">
      <c r="A37" s="78" t="s">
        <v>58</v>
      </c>
      <c r="B37" s="31"/>
      <c r="C37" s="29"/>
      <c r="D37" s="32">
        <f>B8*B18*B7*(1-B13)*B10*B25</f>
        <v>64119.782999999981</v>
      </c>
    </row>
    <row r="38" spans="1:6" ht="14.4" x14ac:dyDescent="0.3">
      <c r="A38" s="78" t="s">
        <v>12</v>
      </c>
      <c r="B38" s="31"/>
      <c r="C38" s="29"/>
      <c r="D38" s="32">
        <f>0.5*B8*B17*B7*(1-B13)*B10*B25</f>
        <v>128239.56600000002</v>
      </c>
    </row>
    <row r="39" spans="1:6" ht="14.4" x14ac:dyDescent="0.3">
      <c r="A39" s="79" t="s">
        <v>59</v>
      </c>
      <c r="B39" s="33"/>
      <c r="C39" s="34"/>
      <c r="D39" s="35">
        <f>B8*(B18)*B7*(1-B13)*B10*B26</f>
        <v>448838.48099999991</v>
      </c>
    </row>
    <row r="40" spans="1:6" ht="14.4" x14ac:dyDescent="0.3">
      <c r="A40" s="80" t="s">
        <v>10</v>
      </c>
      <c r="B40" s="36"/>
      <c r="C40" s="37"/>
      <c r="D40" s="30"/>
    </row>
    <row r="41" spans="1:6" ht="14.4" x14ac:dyDescent="0.3">
      <c r="A41" s="81" t="s">
        <v>12</v>
      </c>
      <c r="B41" s="38"/>
      <c r="C41" s="39"/>
      <c r="D41" s="40">
        <f>0.5*B8*B17*B7*(1-B14)*B10*B25</f>
        <v>85056.85500000001</v>
      </c>
    </row>
    <row r="42" spans="1:6" ht="14.4" x14ac:dyDescent="0.3">
      <c r="A42" s="82" t="s">
        <v>13</v>
      </c>
      <c r="B42" s="83"/>
      <c r="C42" s="84"/>
      <c r="D42" s="41">
        <f>B8*B17*B7*(1-B14)*B10*B26</f>
        <v>1190795.9700000002</v>
      </c>
    </row>
    <row r="43" spans="1:6" ht="14.4" x14ac:dyDescent="0.3">
      <c r="A43" s="85" t="s">
        <v>1</v>
      </c>
      <c r="B43" s="86"/>
      <c r="C43" s="87"/>
      <c r="D43" s="42">
        <f>B28*B8*B17</f>
        <v>4000</v>
      </c>
    </row>
    <row r="44" spans="1:6" x14ac:dyDescent="0.25">
      <c r="A44" s="88" t="s">
        <v>14</v>
      </c>
      <c r="B44" s="89">
        <f>SUM(B35:B43)</f>
        <v>2617134</v>
      </c>
      <c r="C44" s="90">
        <f>SUM(C35:C43)</f>
        <v>2093707.2000000004</v>
      </c>
      <c r="D44" s="91">
        <f>SUM(D35:D43)</f>
        <v>1921050.655</v>
      </c>
      <c r="E44" s="73">
        <f>D44/2</f>
        <v>960525.32750000001</v>
      </c>
      <c r="F44" s="74" t="s">
        <v>61</v>
      </c>
    </row>
    <row r="45" spans="1:6" x14ac:dyDescent="0.25">
      <c r="A45" s="92" t="s">
        <v>15</v>
      </c>
      <c r="B45" s="93"/>
      <c r="C45" s="94"/>
      <c r="D45" s="95">
        <f>C44-D44</f>
        <v>172656.54500000039</v>
      </c>
      <c r="E45" s="73">
        <f>E32-E44</f>
        <v>151756.62249999994</v>
      </c>
      <c r="F45" s="74" t="s">
        <v>63</v>
      </c>
    </row>
    <row r="46" spans="1:6" ht="15.75" customHeight="1" x14ac:dyDescent="0.25">
      <c r="A46" s="96"/>
      <c r="B46" s="96"/>
      <c r="C46" s="97"/>
      <c r="D46" s="96"/>
    </row>
    <row r="47" spans="1:6" ht="13.2" customHeight="1" x14ac:dyDescent="0.25">
      <c r="A47" s="98" t="s">
        <v>66</v>
      </c>
      <c r="B47" s="99" t="s">
        <v>0</v>
      </c>
      <c r="C47" s="99" t="s">
        <v>29</v>
      </c>
      <c r="D47" s="100" t="s">
        <v>30</v>
      </c>
    </row>
    <row r="48" spans="1:6" ht="14.4" x14ac:dyDescent="0.3">
      <c r="A48" s="70" t="s">
        <v>31</v>
      </c>
      <c r="B48" s="43">
        <f>B8*B7*12*B10</f>
        <v>1308567.0000000002</v>
      </c>
      <c r="C48" s="44">
        <f>B8*B7*(1-B12)*B10*12</f>
        <v>1046853.6000000002</v>
      </c>
      <c r="D48" s="45">
        <f>B8*B18*B7*(1-B13)*B10*12</f>
        <v>256479.13199999993</v>
      </c>
    </row>
    <row r="49" spans="1:6" ht="14.4" x14ac:dyDescent="0.3">
      <c r="A49" s="101" t="s">
        <v>10</v>
      </c>
      <c r="B49" s="48"/>
      <c r="C49" s="49"/>
      <c r="D49" s="50">
        <f>B8*B17*B7*(1-B14)*B10*12</f>
        <v>680454.84000000008</v>
      </c>
      <c r="E49" s="73">
        <f>D49+D48</f>
        <v>936933.97200000007</v>
      </c>
      <c r="F49" s="74" t="s">
        <v>62</v>
      </c>
    </row>
    <row r="50" spans="1:6" x14ac:dyDescent="0.25">
      <c r="A50" s="96"/>
      <c r="B50" s="107"/>
      <c r="C50" s="108"/>
      <c r="D50" s="73"/>
      <c r="E50" s="73">
        <f>E32-E49</f>
        <v>175347.97799999989</v>
      </c>
      <c r="F50" s="74" t="s">
        <v>63</v>
      </c>
    </row>
    <row r="51" spans="1:6" ht="15.75" customHeight="1" x14ac:dyDescent="0.25">
      <c r="B51" s="54"/>
      <c r="C51" s="54"/>
      <c r="F51" s="74"/>
    </row>
    <row r="52" spans="1:6" ht="12.75" customHeight="1" x14ac:dyDescent="0.25">
      <c r="B52" s="54"/>
      <c r="C52" s="54"/>
    </row>
    <row r="53" spans="1:6" x14ac:dyDescent="0.25">
      <c r="B53" s="54"/>
      <c r="C53" s="54"/>
    </row>
    <row r="54" spans="1:6" x14ac:dyDescent="0.25">
      <c r="B54" s="54"/>
      <c r="C54" s="54"/>
    </row>
    <row r="55" spans="1:6" x14ac:dyDescent="0.25">
      <c r="B55" s="54"/>
      <c r="C55" s="54"/>
    </row>
    <row r="56" spans="1:6" x14ac:dyDescent="0.25">
      <c r="B56" s="54"/>
      <c r="C56" s="54"/>
    </row>
    <row r="57" spans="1:6" x14ac:dyDescent="0.25">
      <c r="B57" s="54"/>
      <c r="C57" s="54"/>
    </row>
    <row r="58" spans="1:6" x14ac:dyDescent="0.25">
      <c r="B58" s="54"/>
      <c r="C58" s="54"/>
    </row>
    <row r="59" spans="1:6" x14ac:dyDescent="0.25">
      <c r="B59" s="54"/>
      <c r="C59" s="54"/>
    </row>
    <row r="60" spans="1:6" x14ac:dyDescent="0.25">
      <c r="B60" s="54"/>
      <c r="C60" s="54"/>
    </row>
    <row r="61" spans="1:6" x14ac:dyDescent="0.25">
      <c r="B61" s="54"/>
      <c r="C61" s="54"/>
    </row>
    <row r="62" spans="1:6" x14ac:dyDescent="0.25">
      <c r="B62" s="54"/>
    </row>
    <row r="63" spans="1:6" x14ac:dyDescent="0.25">
      <c r="B63" s="54"/>
    </row>
    <row r="64" spans="1:6" x14ac:dyDescent="0.25">
      <c r="B64" s="54"/>
    </row>
    <row r="65" spans="2:2" x14ac:dyDescent="0.25">
      <c r="B65" s="54"/>
    </row>
    <row r="66" spans="2:2" x14ac:dyDescent="0.25">
      <c r="B66" s="54"/>
    </row>
    <row r="67" spans="2:2" x14ac:dyDescent="0.25">
      <c r="B67" s="54"/>
    </row>
    <row r="68" spans="2:2" x14ac:dyDescent="0.25">
      <c r="B68" s="54"/>
    </row>
    <row r="69" spans="2:2" x14ac:dyDescent="0.25">
      <c r="B69" s="54"/>
    </row>
    <row r="70" spans="2:2" x14ac:dyDescent="0.25">
      <c r="B70" s="54"/>
    </row>
  </sheetData>
  <sheetProtection sheet="1" objects="1" scenarios="1" selectLockedCells="1"/>
  <conditionalFormatting sqref="D45">
    <cfRule type="cellIs" dxfId="5" priority="5" operator="greaterThan">
      <formula>0</formula>
    </cfRule>
    <cfRule type="cellIs" dxfId="4" priority="6" operator="lessThan">
      <formula>0</formula>
    </cfRule>
  </conditionalFormatting>
  <conditionalFormatting sqref="E45">
    <cfRule type="cellIs" dxfId="3" priority="3" operator="lessThan">
      <formula>0</formula>
    </cfRule>
    <cfRule type="cellIs" dxfId="2" priority="4" operator="greaterThan">
      <formula>0</formula>
    </cfRule>
  </conditionalFormatting>
  <conditionalFormatting sqref="E50">
    <cfRule type="cellIs" dxfId="1" priority="1" operator="lessThan">
      <formula>0</formula>
    </cfRule>
    <cfRule type="cellIs" dxfId="0" priority="2" operator="greaterThan">
      <formula>0</formula>
    </cfRule>
  </conditionalFormatting>
  <pageMargins left="0.70866141732283472" right="0.70866141732283472" top="0.98425196850393704" bottom="0.74803149606299213" header="0.31496062992125984" footer="0.31496062992125984"/>
  <pageSetup paperSize="9" scale="69" fitToHeight="2" orientation="portrait" r:id="rId1"/>
  <headerFooter>
    <oddHeader>&amp;L&amp;14&amp;K04+000
Scenario analyse Enbrel-Benepali switch
&amp;R&amp;G</oddHeader>
    <oddFooter>&amp;C&amp;F / &amp;A</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5</vt:i4>
      </vt:variant>
      <vt:variant>
        <vt:lpstr>Benoemde bereiken</vt:lpstr>
      </vt:variant>
      <vt:variant>
        <vt:i4>2</vt:i4>
      </vt:variant>
    </vt:vector>
  </HeadingPairs>
  <TitlesOfParts>
    <vt:vector size="7" baseType="lpstr">
      <vt:lpstr>Titelblad</vt:lpstr>
      <vt:lpstr>Gebruiksaanwijzing</vt:lpstr>
      <vt:lpstr>Voorblad</vt:lpstr>
      <vt:lpstr>Scenario blanco</vt:lpstr>
      <vt:lpstr>Fictief voorbeeld</vt:lpstr>
      <vt:lpstr>'Fictief voorbeeld'!Afdrukbereik</vt:lpstr>
      <vt:lpstr>'Scenario blanco'!Afdrukbereik</vt:lpstr>
    </vt:vector>
  </TitlesOfParts>
  <Company>Gelre Ziekenhuizen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Lerkp01</dc:creator>
  <cp:lastModifiedBy>drs. Rob Essink MPH, senior apotheker</cp:lastModifiedBy>
  <cp:lastPrinted>2018-10-30T13:05:38Z</cp:lastPrinted>
  <dcterms:created xsi:type="dcterms:W3CDTF">2016-04-20T06:38:11Z</dcterms:created>
  <dcterms:modified xsi:type="dcterms:W3CDTF">2019-04-29T08:59:38Z</dcterms:modified>
</cp:coreProperties>
</file>